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55" yWindow="270" windowWidth="21405" windowHeight="7875"/>
  </bookViews>
  <sheets>
    <sheet name="layout" sheetId="1" r:id="rId1"/>
    <sheet name="K&amp;B branch size" sheetId="2" r:id="rId2"/>
    <sheet name="Air Change Calculator" sheetId="3" r:id="rId3"/>
    <sheet name="Sheet1" sheetId="4" r:id="rId4"/>
  </sheets>
  <definedNames>
    <definedName name="solver_adj" localSheetId="1" hidden="1">'K&amp;B branch size'!$Q$8</definedName>
    <definedName name="solver_adj" localSheetId="0" hidden="1">layout!$R$4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'K&amp;B branch size'!$R$8</definedName>
    <definedName name="solver_opt" localSheetId="0" hidden="1">layout!$R$2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1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3</definedName>
    <definedName name="solver_typ" localSheetId="0" hidden="1">3</definedName>
    <definedName name="solver_val" localSheetId="1" hidden="1">0</definedName>
    <definedName name="solver_val" localSheetId="0" hidden="1">1156</definedName>
    <definedName name="solver_ver" localSheetId="1" hidden="1">3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X34" i="1" l="1"/>
  <c r="X35" i="1"/>
  <c r="Y35" i="1" s="1"/>
  <c r="Y34" i="1"/>
  <c r="AN16" i="1" l="1"/>
  <c r="AO16" i="1" s="1"/>
  <c r="AP16" i="1" s="1"/>
  <c r="AR16" i="1"/>
  <c r="AL25" i="1"/>
  <c r="AK25" i="1"/>
  <c r="AH25" i="1"/>
  <c r="AI25" i="1"/>
  <c r="AL15" i="1"/>
  <c r="AL18" i="1"/>
  <c r="AL19" i="1"/>
  <c r="AK19" i="1"/>
  <c r="AK18" i="1"/>
  <c r="AK17" i="1"/>
  <c r="AL17" i="1" s="1"/>
  <c r="AK16" i="1"/>
  <c r="AK15" i="1"/>
  <c r="AH17" i="1"/>
  <c r="AI17" i="1" s="1"/>
  <c r="AH18" i="1"/>
  <c r="AI18" i="1" s="1"/>
  <c r="AG15" i="1"/>
  <c r="AH15" i="1" s="1"/>
  <c r="AI15" i="1" s="1"/>
  <c r="AG16" i="1"/>
  <c r="AL16" i="1" s="1"/>
  <c r="AG17" i="1"/>
  <c r="AG18" i="1"/>
  <c r="AG19" i="1"/>
  <c r="AH19" i="1" s="1"/>
  <c r="AI19" i="1" s="1"/>
  <c r="AF15" i="1"/>
  <c r="AF16" i="1"/>
  <c r="AF17" i="1"/>
  <c r="AF18" i="1"/>
  <c r="AF19" i="1"/>
  <c r="AS16" i="1" l="1"/>
  <c r="AJ11" i="1"/>
  <c r="AK11" i="1" s="1"/>
  <c r="AL11" i="1" s="1"/>
  <c r="AH16" i="1"/>
  <c r="AI16" i="1" s="1"/>
  <c r="AJ12" i="1"/>
  <c r="AK12" i="1" s="1"/>
  <c r="AL12" i="1" s="1"/>
  <c r="AJ8" i="1"/>
  <c r="AE20" i="1"/>
  <c r="AD16" i="1"/>
  <c r="AE16" i="1" s="1"/>
  <c r="AD17" i="1"/>
  <c r="AE17" i="1"/>
  <c r="AD18" i="1"/>
  <c r="AE18" i="1" s="1"/>
  <c r="AD19" i="1"/>
  <c r="AE19" i="1"/>
  <c r="AE15" i="1"/>
  <c r="AD15" i="1"/>
  <c r="AF13" i="1"/>
  <c r="AE13" i="1" s="1"/>
  <c r="AF12" i="1"/>
  <c r="AG12" i="1" s="1"/>
  <c r="AE12" i="1"/>
  <c r="AE9" i="1"/>
  <c r="AF10" i="1"/>
  <c r="AE10" i="1"/>
  <c r="AE6" i="1"/>
  <c r="AF6" i="1"/>
  <c r="AG5" i="1"/>
  <c r="AE3" i="1"/>
  <c r="AD4" i="1"/>
  <c r="AE4" i="1" s="1"/>
  <c r="AE5" i="1" s="1"/>
  <c r="AF5" i="1" s="1"/>
  <c r="AD8" i="1"/>
  <c r="AE8" i="1" s="1"/>
  <c r="AD3" i="1"/>
  <c r="AF9" i="1" l="1"/>
  <c r="AG9" i="1" s="1"/>
  <c r="G42" i="1" l="1"/>
  <c r="B42" i="1"/>
  <c r="W30" i="1"/>
  <c r="H42" i="1" s="1"/>
  <c r="W29" i="1"/>
  <c r="C42" i="1" s="1"/>
  <c r="J44" i="1"/>
  <c r="E44" i="1"/>
  <c r="I43" i="1"/>
  <c r="H43" i="1"/>
  <c r="D43" i="1"/>
  <c r="C43" i="1"/>
  <c r="I44" i="1" l="1"/>
  <c r="I45" i="1" s="1"/>
  <c r="C44" i="1"/>
  <c r="C45" i="1" s="1"/>
  <c r="D44" i="1"/>
  <c r="D45" i="1" s="1"/>
  <c r="J43" i="1"/>
  <c r="H44" i="1"/>
  <c r="H45" i="1" s="1"/>
  <c r="E43" i="1"/>
  <c r="R6" i="1"/>
  <c r="M6" i="1"/>
  <c r="H6" i="1"/>
  <c r="P3" i="1" l="1"/>
  <c r="U29" i="1" l="1"/>
  <c r="B37" i="1" l="1"/>
  <c r="G37" i="1"/>
  <c r="L37" i="1"/>
  <c r="Q37" i="1"/>
  <c r="W28" i="1"/>
  <c r="R37" i="1" s="1"/>
  <c r="T38" i="1" s="1"/>
  <c r="X27" i="1" s="1"/>
  <c r="W27" i="1"/>
  <c r="M37" i="1" s="1"/>
  <c r="W26" i="1"/>
  <c r="H37" i="1" s="1"/>
  <c r="W25" i="1"/>
  <c r="C37" i="1" s="1"/>
  <c r="W24" i="1"/>
  <c r="W23" i="1"/>
  <c r="W22" i="1"/>
  <c r="W21" i="1"/>
  <c r="X25" i="1"/>
  <c r="X26" i="1"/>
  <c r="T39" i="1"/>
  <c r="X28" i="1" s="1"/>
  <c r="O39" i="1"/>
  <c r="J39" i="1"/>
  <c r="E39" i="1"/>
  <c r="S38" i="1"/>
  <c r="R38" i="1"/>
  <c r="N38" i="1"/>
  <c r="M38" i="1"/>
  <c r="I38" i="1"/>
  <c r="H38" i="1"/>
  <c r="D38" i="1"/>
  <c r="C38" i="1"/>
  <c r="M39" i="1" l="1"/>
  <c r="M40" i="1" s="1"/>
  <c r="J38" i="1"/>
  <c r="E38" i="1"/>
  <c r="N39" i="1"/>
  <c r="N40" i="1" s="1"/>
  <c r="H39" i="1"/>
  <c r="H40" i="1" s="1"/>
  <c r="O38" i="1"/>
  <c r="I39" i="1"/>
  <c r="I40" i="1" s="1"/>
  <c r="C39" i="1"/>
  <c r="C40" i="1" s="1"/>
  <c r="D39" i="1"/>
  <c r="D40" i="1" s="1"/>
  <c r="R39" i="1"/>
  <c r="R40" i="1" s="1"/>
  <c r="S39" i="1"/>
  <c r="S40" i="1" s="1"/>
  <c r="O8" i="3"/>
  <c r="P8" i="3"/>
  <c r="I11" i="3"/>
  <c r="I12" i="3" s="1"/>
  <c r="I5" i="3"/>
  <c r="I6" i="3" s="1"/>
  <c r="I16" i="3" l="1"/>
  <c r="C11" i="3"/>
  <c r="C12" i="3" s="1"/>
  <c r="C5" i="3"/>
  <c r="X24" i="1" l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X1" i="1"/>
  <c r="M1" i="1"/>
  <c r="L3" i="1"/>
  <c r="C6" i="3" l="1"/>
  <c r="C16" i="3" s="1"/>
  <c r="H3" i="1" l="1"/>
  <c r="E9" i="1" l="1"/>
  <c r="AA28" i="1" l="1"/>
  <c r="Z28" i="1" s="1"/>
  <c r="AA27" i="1"/>
  <c r="AC27" i="1" s="1"/>
  <c r="R2" i="1" l="1"/>
  <c r="T9" i="1"/>
  <c r="G4" i="1" l="1"/>
  <c r="R32" i="1" l="1"/>
  <c r="M32" i="1"/>
  <c r="H32" i="1"/>
  <c r="C32" i="1"/>
  <c r="W19" i="1"/>
  <c r="W20" i="1"/>
  <c r="T34" i="1"/>
  <c r="O34" i="1"/>
  <c r="J34" i="1"/>
  <c r="E34" i="1"/>
  <c r="S33" i="1"/>
  <c r="R33" i="1"/>
  <c r="N33" i="1"/>
  <c r="M33" i="1"/>
  <c r="I33" i="1"/>
  <c r="H33" i="1"/>
  <c r="D33" i="1"/>
  <c r="C33" i="1"/>
  <c r="N34" i="1" l="1"/>
  <c r="N35" i="1" s="1"/>
  <c r="T33" i="1"/>
  <c r="H34" i="1"/>
  <c r="H35" i="1" s="1"/>
  <c r="D34" i="1"/>
  <c r="D35" i="1" s="1"/>
  <c r="O33" i="1"/>
  <c r="R34" i="1"/>
  <c r="R35" i="1" s="1"/>
  <c r="I34" i="1"/>
  <c r="I35" i="1" s="1"/>
  <c r="E33" i="1"/>
  <c r="M34" i="1"/>
  <c r="M35" i="1" s="1"/>
  <c r="S34" i="1"/>
  <c r="S35" i="1" s="1"/>
  <c r="C34" i="1"/>
  <c r="C35" i="1" s="1"/>
  <c r="J33" i="1"/>
  <c r="T29" i="1" l="1"/>
  <c r="S28" i="1"/>
  <c r="R28" i="1"/>
  <c r="O29" i="1"/>
  <c r="N28" i="1"/>
  <c r="M28" i="1"/>
  <c r="R27" i="1"/>
  <c r="U28" i="1" s="1"/>
  <c r="M27" i="1"/>
  <c r="W18" i="1"/>
  <c r="M29" i="1" l="1"/>
  <c r="M30" i="1" s="1"/>
  <c r="T28" i="1"/>
  <c r="N29" i="1"/>
  <c r="N30" i="1" s="1"/>
  <c r="O28" i="1"/>
  <c r="R29" i="1"/>
  <c r="R30" i="1" s="1"/>
  <c r="S29" i="1"/>
  <c r="S30" i="1" s="1"/>
  <c r="I3" i="2"/>
  <c r="H3" i="2"/>
  <c r="I28" i="1" l="1"/>
  <c r="H28" i="1"/>
  <c r="D28" i="1"/>
  <c r="C28" i="1"/>
  <c r="D23" i="1"/>
  <c r="C23" i="1"/>
  <c r="I23" i="1"/>
  <c r="H23" i="1"/>
  <c r="I18" i="1"/>
  <c r="H18" i="1"/>
  <c r="D18" i="1"/>
  <c r="C18" i="1"/>
  <c r="D13" i="1"/>
  <c r="C13" i="1"/>
  <c r="I13" i="1"/>
  <c r="H13" i="1"/>
  <c r="N13" i="1"/>
  <c r="M13" i="1"/>
  <c r="N18" i="1"/>
  <c r="M18" i="1"/>
  <c r="N23" i="1"/>
  <c r="M23" i="1"/>
  <c r="S23" i="1"/>
  <c r="R23" i="1"/>
  <c r="S18" i="1"/>
  <c r="R18" i="1"/>
  <c r="S13" i="1"/>
  <c r="R13" i="1"/>
  <c r="S8" i="1"/>
  <c r="R8" i="1"/>
  <c r="N8" i="1"/>
  <c r="M8" i="1"/>
  <c r="I8" i="1"/>
  <c r="H8" i="1"/>
  <c r="D8" i="1"/>
  <c r="C8" i="1"/>
  <c r="H27" i="1"/>
  <c r="W17" i="1"/>
  <c r="C27" i="1" s="1"/>
  <c r="W16" i="1"/>
  <c r="R22" i="1" s="1"/>
  <c r="W15" i="1"/>
  <c r="W14" i="1"/>
  <c r="W13" i="1"/>
  <c r="C22" i="1" s="1"/>
  <c r="W12" i="1"/>
  <c r="R17" i="1" s="1"/>
  <c r="W11" i="1"/>
  <c r="M17" i="1" s="1"/>
  <c r="W10" i="1"/>
  <c r="H17" i="1" s="1"/>
  <c r="W9" i="1"/>
  <c r="C17" i="1" s="1"/>
  <c r="W8" i="1"/>
  <c r="R12" i="1" s="1"/>
  <c r="W7" i="1"/>
  <c r="M12" i="1" s="1"/>
  <c r="W6" i="1"/>
  <c r="H12" i="1" s="1"/>
  <c r="W5" i="1"/>
  <c r="C12" i="1" s="1"/>
  <c r="W4" i="1"/>
  <c r="R7" i="1" s="1"/>
  <c r="W3" i="1"/>
  <c r="M7" i="1" s="1"/>
  <c r="W2" i="1"/>
  <c r="H7" i="1" s="1"/>
  <c r="W1" i="1"/>
  <c r="C7" i="1" s="1"/>
  <c r="H22" i="1" l="1"/>
  <c r="H24" i="1" s="1"/>
  <c r="H25" i="1" s="1"/>
  <c r="M22" i="1"/>
  <c r="M24" i="1" s="1"/>
  <c r="M25" i="1" s="1"/>
  <c r="J29" i="1"/>
  <c r="J28" i="1" s="1"/>
  <c r="I29" i="1"/>
  <c r="I30" i="1" s="1"/>
  <c r="H29" i="1"/>
  <c r="H30" i="1" s="1"/>
  <c r="E29" i="1"/>
  <c r="E28" i="1" s="1"/>
  <c r="D29" i="1"/>
  <c r="D30" i="1" s="1"/>
  <c r="C29" i="1"/>
  <c r="C30" i="1" s="1"/>
  <c r="T24" i="1"/>
  <c r="T23" i="1" s="1"/>
  <c r="S24" i="1"/>
  <c r="S25" i="1" s="1"/>
  <c r="R24" i="1"/>
  <c r="R25" i="1" s="1"/>
  <c r="O24" i="1"/>
  <c r="J24" i="1"/>
  <c r="E24" i="1"/>
  <c r="E23" i="1" s="1"/>
  <c r="C24" i="1"/>
  <c r="C25" i="1" s="1"/>
  <c r="D24" i="1"/>
  <c r="D25" i="1" s="1"/>
  <c r="T19" i="1"/>
  <c r="T18" i="1" s="1"/>
  <c r="S19" i="1"/>
  <c r="S20" i="1" s="1"/>
  <c r="R19" i="1"/>
  <c r="R20" i="1" s="1"/>
  <c r="O19" i="1"/>
  <c r="J19" i="1"/>
  <c r="J18" i="1" s="1"/>
  <c r="I19" i="1"/>
  <c r="I20" i="1" s="1"/>
  <c r="H19" i="1"/>
  <c r="H20" i="1" s="1"/>
  <c r="E19" i="1"/>
  <c r="M19" i="1"/>
  <c r="M20" i="1" s="1"/>
  <c r="T14" i="1"/>
  <c r="T13" i="1" s="1"/>
  <c r="S14" i="1"/>
  <c r="S15" i="1" s="1"/>
  <c r="R14" i="1"/>
  <c r="R15" i="1" s="1"/>
  <c r="O14" i="1"/>
  <c r="O13" i="1" s="1"/>
  <c r="M14" i="1"/>
  <c r="M15" i="1" s="1"/>
  <c r="J14" i="1"/>
  <c r="J13" i="1" s="1"/>
  <c r="E14" i="1"/>
  <c r="E13" i="1" s="1"/>
  <c r="C14" i="1"/>
  <c r="C15" i="1" s="1"/>
  <c r="N14" i="1"/>
  <c r="N15" i="1" s="1"/>
  <c r="D14" i="1"/>
  <c r="D15" i="1" s="1"/>
  <c r="S9" i="1"/>
  <c r="S10" i="1" s="1"/>
  <c r="R9" i="1"/>
  <c r="R10" i="1" s="1"/>
  <c r="O9" i="1"/>
  <c r="J9" i="1"/>
  <c r="N24" i="1" l="1"/>
  <c r="N25" i="1" s="1"/>
  <c r="O23" i="1"/>
  <c r="I24" i="1"/>
  <c r="I25" i="1" s="1"/>
  <c r="J23" i="1"/>
  <c r="N19" i="1"/>
  <c r="N20" i="1" s="1"/>
  <c r="O18" i="1"/>
  <c r="H14" i="1"/>
  <c r="H15" i="1" s="1"/>
  <c r="I14" i="1"/>
  <c r="I15" i="1" s="1"/>
  <c r="T8" i="1"/>
  <c r="D19" i="1" l="1"/>
  <c r="D20" i="1" s="1"/>
  <c r="E18" i="1"/>
  <c r="C19" i="1"/>
  <c r="C20" i="1" s="1"/>
  <c r="E8" i="1" l="1"/>
  <c r="C9" i="1" l="1"/>
  <c r="C10" i="1" s="1"/>
  <c r="D9" i="1"/>
  <c r="D10" i="1" s="1"/>
  <c r="J8" i="1"/>
  <c r="I9" i="1" l="1"/>
  <c r="I10" i="1" s="1"/>
  <c r="H9" i="1"/>
  <c r="H10" i="1" s="1"/>
  <c r="O8" i="1"/>
  <c r="N9" i="1" l="1"/>
  <c r="N10" i="1" s="1"/>
  <c r="M9" i="1"/>
  <c r="M10" i="1" s="1"/>
</calcChain>
</file>

<file path=xl/sharedStrings.xml><?xml version="1.0" encoding="utf-8"?>
<sst xmlns="http://schemas.openxmlformats.org/spreadsheetml/2006/main" count="171" uniqueCount="76">
  <si>
    <t>total cfm</t>
  </si>
  <si>
    <t>drops</t>
  </si>
  <si>
    <t>desired fpm</t>
  </si>
  <si>
    <t>drop 1</t>
  </si>
  <si>
    <t>drop 2</t>
  </si>
  <si>
    <t>drop 3</t>
  </si>
  <si>
    <t>drop 4</t>
  </si>
  <si>
    <t>drop 5</t>
  </si>
  <si>
    <t>drop 6</t>
  </si>
  <si>
    <t>drop 7</t>
  </si>
  <si>
    <t>drop 8</t>
  </si>
  <si>
    <t>drop 9</t>
  </si>
  <si>
    <t>drop 10</t>
  </si>
  <si>
    <t>drop 11</t>
  </si>
  <si>
    <t>drop 12</t>
  </si>
  <si>
    <t>drop 13</t>
  </si>
  <si>
    <t>drop 14</t>
  </si>
  <si>
    <t>drop 15</t>
  </si>
  <si>
    <t>drop 16</t>
  </si>
  <si>
    <t>drop 17</t>
  </si>
  <si>
    <t>drop 18</t>
  </si>
  <si>
    <t>desired FPM (max)</t>
  </si>
  <si>
    <t>desired FPM (min)</t>
  </si>
  <si>
    <t>A</t>
  </si>
  <si>
    <t>B</t>
  </si>
  <si>
    <t>C</t>
  </si>
  <si>
    <t>D</t>
  </si>
  <si>
    <t>E</t>
  </si>
  <si>
    <t>drop 19</t>
  </si>
  <si>
    <t>drop 20</t>
  </si>
  <si>
    <t>drop 21</t>
  </si>
  <si>
    <t>drop 22</t>
  </si>
  <si>
    <t>drop 23</t>
  </si>
  <si>
    <t>drop 24</t>
  </si>
  <si>
    <t xml:space="preserve"> </t>
  </si>
  <si>
    <t>scale</t>
  </si>
  <si>
    <t>inches_a</t>
  </si>
  <si>
    <t>inches_b</t>
  </si>
  <si>
    <t>measure_a</t>
  </si>
  <si>
    <t>measure_b</t>
  </si>
  <si>
    <t>Length</t>
  </si>
  <si>
    <t>Width</t>
  </si>
  <si>
    <t>Height</t>
  </si>
  <si>
    <t>CFM</t>
  </si>
  <si>
    <t>ft</t>
  </si>
  <si>
    <t>n</t>
  </si>
  <si>
    <t>Q</t>
  </si>
  <si>
    <t>V</t>
  </si>
  <si>
    <t>cfm</t>
  </si>
  <si>
    <t>fpm</t>
  </si>
  <si>
    <t>area</t>
  </si>
  <si>
    <t>length</t>
  </si>
  <si>
    <t>width</t>
  </si>
  <si>
    <t>ACH</t>
  </si>
  <si>
    <t>Volume</t>
  </si>
  <si>
    <t>eliminated shipping</t>
  </si>
  <si>
    <t>drop 25</t>
  </si>
  <si>
    <t>drop 26</t>
  </si>
  <si>
    <t>drop 27</t>
  </si>
  <si>
    <t>drop 28</t>
  </si>
  <si>
    <t>drop 29</t>
  </si>
  <si>
    <t>drop 30</t>
  </si>
  <si>
    <t>File</t>
  </si>
  <si>
    <t>Saved Path</t>
  </si>
  <si>
    <t>M001</t>
  </si>
  <si>
    <t>X0006_P2_BOR-MP</t>
  </si>
  <si>
    <t>G:\CAD-FILES\2013\CH-1513\1512-001 LATTC BUILDING D\XREF\M001.tiff</t>
  </si>
  <si>
    <t>G:\CAD-FILES\2013\CH-1513\1512-001 LATTC BUILDING D\XREF\X0006_P2_BOR-MP.dwg</t>
  </si>
  <si>
    <t>X0006_BLDG F_FL01</t>
  </si>
  <si>
    <t>G:\CAD-FILES\2013\CH-1513\1512-001 LATTC BUILDING D\XREF\X0006_BLDG F_FL01.dwg</t>
  </si>
  <si>
    <t>X0006_BLDG F_MEZZ</t>
  </si>
  <si>
    <t>G:\CAD-FILES\2013\CH-1513\1512-001 LATTC BUILDING D\XREF\X0006_BLDG F_MEZZ.dwg</t>
  </si>
  <si>
    <t>Pages from M701_2</t>
  </si>
  <si>
    <t>Pages from M701_3</t>
  </si>
  <si>
    <t>G:\CAD-FILES\2013\CH-1513\1512-001 LATTC BUILDING D\XREF\Pages from M701_2.tiff</t>
  </si>
  <si>
    <t>G:\CAD-FILES\2013\CH-1513\1512-001 LATTC BUILDING D\XREF\Pages from M701_3.tiff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</si>
</sst>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"/>
    <numFmt numFmtId="165" formatCode="0.0000"/>
    <numFmt numFmtId="166" formatCode="0.0"/>
    <numFmt numFmtId="167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165" fontId="0" fillId="0" borderId="6" xfId="0" applyNumberFormat="1" applyBorder="1"/>
    <xf numFmtId="0" fontId="0" fillId="0" borderId="7" xfId="0" applyBorder="1"/>
    <xf numFmtId="165" fontId="0" fillId="0" borderId="8" xfId="0" applyNumberFormat="1" applyBorder="1"/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7" xfId="0" applyFont="1" applyBorder="1"/>
    <xf numFmtId="0" fontId="1" fillId="0" borderId="9" xfId="0" applyFont="1" applyBorder="1"/>
    <xf numFmtId="43" fontId="1" fillId="0" borderId="8" xfId="1" applyFont="1" applyBorder="1"/>
    <xf numFmtId="166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0" fillId="0" borderId="13" xfId="0" applyNumberFormat="1" applyBorder="1"/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0" fillId="0" borderId="18" xfId="0" applyNumberFormat="1" applyBorder="1"/>
    <xf numFmtId="9" fontId="0" fillId="0" borderId="0" xfId="2" applyFont="1"/>
    <xf numFmtId="167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/>
    <xf numFmtId="166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285486</xdr:colOff>
      <xdr:row>16</xdr:row>
      <xdr:rowOff>18664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286" cy="3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1</xdr:row>
      <xdr:rowOff>95250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sz="1100" b="0" i="0">
                  <a:effectLst/>
                  <a:latin typeface="Cambria Math"/>
                </a:rPr>
                <a:t>" 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45"/>
  <sheetViews>
    <sheetView tabSelected="1" topLeftCell="B1" zoomScaleNormal="100" workbookViewId="0">
      <selection activeCell="R10" sqref="R10"/>
    </sheetView>
  </sheetViews>
  <sheetFormatPr defaultRowHeight="15" x14ac:dyDescent="0.25"/>
  <cols>
    <col min="1" max="1" width="6.5703125" bestFit="1" customWidth="1"/>
    <col min="2" max="2" width="17.85546875" bestFit="1" customWidth="1"/>
    <col min="3" max="3" width="9.5703125" bestFit="1" customWidth="1"/>
    <col min="4" max="4" width="8.28515625" bestFit="1" customWidth="1"/>
    <col min="5" max="5" width="7.28515625" bestFit="1" customWidth="1"/>
    <col min="6" max="6" width="10.7109375" bestFit="1" customWidth="1"/>
    <col min="7" max="7" width="11.7109375" bestFit="1" customWidth="1"/>
    <col min="8" max="8" width="10.5703125" bestFit="1" customWidth="1"/>
    <col min="9" max="9" width="10.85546875" bestFit="1" customWidth="1"/>
    <col min="10" max="10" width="7.28515625" bestFit="1" customWidth="1"/>
    <col min="11" max="11" width="6.5703125" bestFit="1" customWidth="1"/>
    <col min="12" max="12" width="11.7109375" bestFit="1" customWidth="1"/>
    <col min="13" max="14" width="8.5703125" bestFit="1" customWidth="1"/>
    <col min="15" max="15" width="8.28515625" bestFit="1" customWidth="1"/>
    <col min="16" max="16" width="7.7109375" customWidth="1"/>
    <col min="17" max="17" width="11.7109375" bestFit="1" customWidth="1"/>
    <col min="18" max="18" width="8.5703125" bestFit="1" customWidth="1"/>
    <col min="19" max="19" width="8.28515625" bestFit="1" customWidth="1"/>
    <col min="20" max="20" width="7.28515625" bestFit="1" customWidth="1"/>
    <col min="21" max="21" width="7.5703125" bestFit="1" customWidth="1"/>
    <col min="22" max="22" width="8" bestFit="1" customWidth="1"/>
    <col min="23" max="23" width="6.7109375" bestFit="1" customWidth="1"/>
    <col min="27" max="27" width="6.85546875" bestFit="1" customWidth="1"/>
    <col min="28" max="28" width="4.42578125" bestFit="1" customWidth="1"/>
    <col min="29" max="29" width="4.7109375" bestFit="1" customWidth="1"/>
    <col min="30" max="30" width="8.5703125" bestFit="1" customWidth="1"/>
    <col min="31" max="31" width="6.85546875" bestFit="1" customWidth="1"/>
  </cols>
  <sheetData>
    <row r="1" spans="2:45" x14ac:dyDescent="0.25">
      <c r="G1" s="53" t="s">
        <v>35</v>
      </c>
      <c r="H1" s="53"/>
      <c r="L1">
        <v>943</v>
      </c>
      <c r="M1">
        <f>L3/M2</f>
        <v>2887.6167287310222</v>
      </c>
      <c r="V1" t="s">
        <v>3</v>
      </c>
      <c r="W1">
        <f>C2/C3</f>
        <v>393.33333333333331</v>
      </c>
      <c r="X1" s="33">
        <f>E10</f>
        <v>5</v>
      </c>
    </row>
    <row r="2" spans="2:45" x14ac:dyDescent="0.25">
      <c r="B2" t="s">
        <v>0</v>
      </c>
      <c r="C2" s="3">
        <v>1180</v>
      </c>
      <c r="D2" s="3"/>
      <c r="E2" s="3"/>
      <c r="F2" s="1" t="s">
        <v>38</v>
      </c>
      <c r="G2" s="1">
        <v>1.8180000000000001</v>
      </c>
      <c r="H2" s="1">
        <v>1.3160000000000001</v>
      </c>
      <c r="I2" s="1" t="s">
        <v>39</v>
      </c>
      <c r="J2" s="1"/>
      <c r="K2" s="1"/>
      <c r="L2" s="1">
        <v>1.069</v>
      </c>
      <c r="M2" s="1">
        <v>0.34910000000000002</v>
      </c>
      <c r="N2" s="1"/>
      <c r="O2" s="1"/>
      <c r="P2" s="1"/>
      <c r="Q2" s="1">
        <v>1156</v>
      </c>
      <c r="R2">
        <f>(((R4^2)/4)*PI())</f>
        <v>1156.0001844207516</v>
      </c>
      <c r="V2" t="s">
        <v>4</v>
      </c>
      <c r="W2">
        <f>$C$2/$C$3*2</f>
        <v>786.66666666666663</v>
      </c>
      <c r="X2" s="33">
        <f>J10</f>
        <v>7</v>
      </c>
    </row>
    <row r="3" spans="2:45" x14ac:dyDescent="0.25">
      <c r="B3" t="s">
        <v>1</v>
      </c>
      <c r="C3" s="3">
        <v>3</v>
      </c>
      <c r="D3" s="3"/>
      <c r="E3" s="3"/>
      <c r="F3" s="1" t="s">
        <v>36</v>
      </c>
      <c r="G3" s="1">
        <v>40</v>
      </c>
      <c r="H3" s="1">
        <f>G3*H2/G2</f>
        <v>28.954895489548953</v>
      </c>
      <c r="I3" s="1" t="s">
        <v>37</v>
      </c>
      <c r="J3" s="1"/>
      <c r="K3" s="1"/>
      <c r="L3" s="1">
        <f>L2*L1</f>
        <v>1008.067</v>
      </c>
      <c r="M3" s="1"/>
      <c r="N3" s="1">
        <v>5500</v>
      </c>
      <c r="O3" s="1">
        <v>36</v>
      </c>
      <c r="P3" s="1">
        <f>N3/O3</f>
        <v>152.77777777777777</v>
      </c>
      <c r="Q3" s="1"/>
      <c r="V3" t="s">
        <v>5</v>
      </c>
      <c r="W3">
        <f>$C$2/$C$3*3</f>
        <v>1180</v>
      </c>
      <c r="X3" s="33">
        <f>O10</f>
        <v>9</v>
      </c>
      <c r="AC3">
        <v>10</v>
      </c>
      <c r="AD3" s="44">
        <f>AC3*AC3/4*PI()/144</f>
        <v>0.54541539124822802</v>
      </c>
      <c r="AE3">
        <f>AD3*4500</f>
        <v>2454.3692606170262</v>
      </c>
      <c r="AJ3">
        <v>1050</v>
      </c>
    </row>
    <row r="4" spans="2:45" x14ac:dyDescent="0.25">
      <c r="B4" t="s">
        <v>22</v>
      </c>
      <c r="C4" s="3">
        <v>2500</v>
      </c>
      <c r="D4" s="3"/>
      <c r="E4" s="3"/>
      <c r="F4" s="1"/>
      <c r="G4" s="1">
        <f>G3/G2</f>
        <v>22.002200220022001</v>
      </c>
      <c r="H4" s="1"/>
      <c r="I4" s="1"/>
      <c r="J4" s="1"/>
      <c r="K4" s="1"/>
      <c r="L4" s="1"/>
      <c r="M4" s="1"/>
      <c r="N4" s="1"/>
      <c r="O4" s="1"/>
      <c r="P4" s="1"/>
      <c r="Q4" s="1"/>
      <c r="R4">
        <v>38.364894741490453</v>
      </c>
      <c r="V4" t="s">
        <v>6</v>
      </c>
      <c r="W4">
        <f>$C$2/$C$3*4</f>
        <v>1573.3333333333333</v>
      </c>
      <c r="X4" s="33">
        <f>T10</f>
        <v>8</v>
      </c>
      <c r="AC4">
        <v>6</v>
      </c>
      <c r="AD4" s="44">
        <f t="shared" ref="AD4" si="0">AC4*AC4/4*PI()/144</f>
        <v>0.19634954084936207</v>
      </c>
      <c r="AE4">
        <f t="shared" ref="AE4" si="1">AD4*4500</f>
        <v>883.57293382212936</v>
      </c>
      <c r="AJ4">
        <v>1050</v>
      </c>
    </row>
    <row r="5" spans="2:45" ht="15.75" thickBot="1" x14ac:dyDescent="0.3">
      <c r="B5" t="s">
        <v>21</v>
      </c>
      <c r="C5" s="3">
        <v>3000</v>
      </c>
      <c r="D5" s="3"/>
      <c r="E5" s="3"/>
      <c r="F5" s="1"/>
      <c r="G5" s="1"/>
      <c r="H5" s="1" t="s">
        <v>34</v>
      </c>
      <c r="I5" s="1"/>
      <c r="J5" s="1"/>
      <c r="K5" s="1"/>
      <c r="L5" s="1"/>
      <c r="M5" s="1"/>
      <c r="N5" s="1"/>
      <c r="O5" s="1"/>
      <c r="P5" s="1"/>
      <c r="Q5" s="1"/>
      <c r="V5" t="s">
        <v>7</v>
      </c>
      <c r="W5">
        <f>$C$2/$C$3*5</f>
        <v>1966.6666666666665</v>
      </c>
      <c r="X5" s="33">
        <f>E15</f>
        <v>10</v>
      </c>
      <c r="AE5">
        <f>SUM(AE3:AE4)</f>
        <v>3337.9421944391556</v>
      </c>
      <c r="AF5">
        <f>AE5/4500</f>
        <v>0.74176493209759009</v>
      </c>
      <c r="AG5" s="13">
        <f>SQRT(4*AF5/(PI()))*12</f>
        <v>11.661903789690601</v>
      </c>
      <c r="AJ5">
        <v>1050</v>
      </c>
    </row>
    <row r="6" spans="2:45" ht="15.75" thickBot="1" x14ac:dyDescent="0.3">
      <c r="C6" s="3"/>
      <c r="D6" s="3"/>
      <c r="E6" s="3"/>
      <c r="F6" s="1"/>
      <c r="G6" s="1"/>
      <c r="H6" s="1">
        <f>F8+F9</f>
        <v>0</v>
      </c>
      <c r="I6" s="1"/>
      <c r="J6" s="1"/>
      <c r="K6" s="1"/>
      <c r="L6" s="1"/>
      <c r="M6" s="1">
        <f>SUM(F7:F9)</f>
        <v>0</v>
      </c>
      <c r="N6" s="1"/>
      <c r="O6" s="1"/>
      <c r="P6" s="1"/>
      <c r="Q6" s="1"/>
      <c r="R6" s="1">
        <f>SUM(F6:F9)</f>
        <v>0</v>
      </c>
      <c r="V6" t="s">
        <v>8</v>
      </c>
      <c r="W6">
        <f>$C$2/$C$3*6</f>
        <v>2360</v>
      </c>
      <c r="X6" s="33">
        <f>J15</f>
        <v>20</v>
      </c>
      <c r="AE6">
        <f>AE5/AF6</f>
        <v>4250.0000000000009</v>
      </c>
      <c r="AF6">
        <f>AG6*AG6/4*PI()/144</f>
        <v>0.78539816339744828</v>
      </c>
      <c r="AG6">
        <v>12</v>
      </c>
      <c r="AJ6">
        <v>590</v>
      </c>
    </row>
    <row r="7" spans="2:45" x14ac:dyDescent="0.25">
      <c r="B7" s="6" t="s">
        <v>3</v>
      </c>
      <c r="C7" s="42">
        <f>W1</f>
        <v>393.33333333333331</v>
      </c>
      <c r="D7" s="7"/>
      <c r="E7" s="8"/>
      <c r="F7" s="1"/>
      <c r="G7" s="6" t="s">
        <v>4</v>
      </c>
      <c r="H7" s="7">
        <f>W2</f>
        <v>786.66666666666663</v>
      </c>
      <c r="I7" s="7"/>
      <c r="J7" s="8"/>
      <c r="L7" s="6" t="s">
        <v>5</v>
      </c>
      <c r="M7" s="7">
        <f>W3</f>
        <v>1180</v>
      </c>
      <c r="N7" s="7"/>
      <c r="O7" s="8"/>
      <c r="P7" s="3"/>
      <c r="Q7" s="6" t="s">
        <v>6</v>
      </c>
      <c r="R7" s="7">
        <f>W4</f>
        <v>1573.3333333333333</v>
      </c>
      <c r="S7" s="7"/>
      <c r="T7" s="8"/>
      <c r="U7" s="3"/>
      <c r="V7" t="s">
        <v>9</v>
      </c>
      <c r="W7">
        <f>$C$2/$C$3*7</f>
        <v>2753.333333333333</v>
      </c>
      <c r="X7" s="33">
        <f>O15</f>
        <v>22</v>
      </c>
      <c r="AJ7">
        <v>590</v>
      </c>
    </row>
    <row r="8" spans="2:45" x14ac:dyDescent="0.25">
      <c r="B8" s="9" t="s">
        <v>2</v>
      </c>
      <c r="C8" s="4">
        <f>$C$4</f>
        <v>2500</v>
      </c>
      <c r="D8" s="4">
        <f>$C$5</f>
        <v>3000</v>
      </c>
      <c r="E8" s="10">
        <f>C7/E9</f>
        <v>2884.6515125519841</v>
      </c>
      <c r="F8" s="1"/>
      <c r="G8" s="9" t="s">
        <v>2</v>
      </c>
      <c r="H8" s="4">
        <f>$C$4</f>
        <v>2500</v>
      </c>
      <c r="I8" s="4">
        <f>$C$5</f>
        <v>3000</v>
      </c>
      <c r="J8" s="10">
        <f>H7/J9</f>
        <v>2943.5219515836575</v>
      </c>
      <c r="K8" s="1"/>
      <c r="L8" s="9" t="s">
        <v>2</v>
      </c>
      <c r="M8" s="4">
        <f>$C$4</f>
        <v>2500</v>
      </c>
      <c r="N8" s="4">
        <f>$C$5</f>
        <v>3000</v>
      </c>
      <c r="O8" s="10">
        <f>M7/O9</f>
        <v>2670.9736227333192</v>
      </c>
      <c r="P8" s="3"/>
      <c r="Q8" s="9" t="s">
        <v>2</v>
      </c>
      <c r="R8" s="4">
        <f>$C$4</f>
        <v>2500</v>
      </c>
      <c r="S8" s="4">
        <f>$C$5</f>
        <v>3000</v>
      </c>
      <c r="T8" s="10">
        <f>R7/T9</f>
        <v>4507.267988362476</v>
      </c>
      <c r="V8" t="s">
        <v>10</v>
      </c>
      <c r="W8">
        <f>$C$2/$C$3*8</f>
        <v>3146.6666666666665</v>
      </c>
      <c r="X8" s="33">
        <f>T15</f>
        <v>24</v>
      </c>
      <c r="AC8">
        <v>6</v>
      </c>
      <c r="AD8" s="44">
        <f>AC8*AC8/4*PI()/144</f>
        <v>0.19634954084936207</v>
      </c>
      <c r="AE8">
        <f>AD8*4500</f>
        <v>883.57293382212936</v>
      </c>
      <c r="AJ8">
        <f>SUM(AJ3:AJ7)</f>
        <v>4330</v>
      </c>
    </row>
    <row r="9" spans="2:45" ht="15.75" thickBot="1" x14ac:dyDescent="0.3">
      <c r="B9" s="9"/>
      <c r="C9" s="5">
        <f>C7/C8</f>
        <v>0.15733333333333333</v>
      </c>
      <c r="D9" s="5">
        <f>C7/D8</f>
        <v>0.13111111111111109</v>
      </c>
      <c r="E9" s="11">
        <f>(((E10/12)^2)/4)*PI()</f>
        <v>0.13635384781205701</v>
      </c>
      <c r="F9" s="2"/>
      <c r="G9" s="9"/>
      <c r="H9" s="5">
        <f>H7/H8</f>
        <v>0.31466666666666665</v>
      </c>
      <c r="I9" s="5">
        <f>H7/I8</f>
        <v>0.26222222222222219</v>
      </c>
      <c r="J9" s="11">
        <f>(((J10/12)^2)/4)*PI()</f>
        <v>0.26725354171163174</v>
      </c>
      <c r="K9" s="2"/>
      <c r="L9" s="9"/>
      <c r="M9" s="5">
        <f>M7/M8</f>
        <v>0.47199999999999998</v>
      </c>
      <c r="N9" s="5">
        <f>M7/N8</f>
        <v>0.39333333333333331</v>
      </c>
      <c r="O9" s="11">
        <f>(((O10/12)^2)/4)*PI()</f>
        <v>0.44178646691106466</v>
      </c>
      <c r="P9" s="2"/>
      <c r="Q9" s="9"/>
      <c r="R9" s="5">
        <f>R7/R8</f>
        <v>0.6293333333333333</v>
      </c>
      <c r="S9" s="5">
        <f>R7/S8</f>
        <v>0.52444444444444438</v>
      </c>
      <c r="T9" s="11">
        <f>(((T10/12)^2)/4)*PI()</f>
        <v>0.3490658503988659</v>
      </c>
      <c r="V9" t="s">
        <v>11</v>
      </c>
      <c r="W9">
        <f>$C$2/$C$3*9</f>
        <v>3540</v>
      </c>
      <c r="X9" s="33">
        <f>E20</f>
        <v>24</v>
      </c>
      <c r="AE9">
        <f>AE8+AE4+AE3</f>
        <v>4221.5151282612851</v>
      </c>
      <c r="AF9">
        <f>AE9/4500</f>
        <v>0.93811447294695227</v>
      </c>
      <c r="AG9" s="13">
        <f>SQRT(4*AF9/(PI()))*12</f>
        <v>13.114877048604004</v>
      </c>
    </row>
    <row r="10" spans="2:45" ht="15.75" thickBot="1" x14ac:dyDescent="0.3">
      <c r="B10" s="12"/>
      <c r="C10" s="13">
        <f>SQRT(4*C9/(PI()))*12</f>
        <v>5.3708951884690368</v>
      </c>
      <c r="D10" s="13">
        <f>SQRT(4*D9/(PI()))*12</f>
        <v>4.9029340812007529</v>
      </c>
      <c r="E10" s="15">
        <v>5</v>
      </c>
      <c r="F10" s="2"/>
      <c r="G10" s="12"/>
      <c r="H10" s="13">
        <f>SQRT(4*H9/(PI()))*12</f>
        <v>7.5955928176173115</v>
      </c>
      <c r="I10" s="13">
        <f>SQRT(4*I9/(PI()))*12</f>
        <v>6.9337958730553737</v>
      </c>
      <c r="J10" s="15">
        <v>7</v>
      </c>
      <c r="K10" s="2"/>
      <c r="L10" s="12"/>
      <c r="M10" s="13">
        <f>SQRT(4*M9/(PI()))*12</f>
        <v>9.3026633485555923</v>
      </c>
      <c r="N10" s="13">
        <f>SQRT(4*N9/(PI()))*12</f>
        <v>8.4921309348007359</v>
      </c>
      <c r="O10" s="15">
        <v>9</v>
      </c>
      <c r="P10" s="2"/>
      <c r="Q10" s="12"/>
      <c r="R10" s="13">
        <f>SQRT(4*R9/(PI()))*12</f>
        <v>10.741790376938074</v>
      </c>
      <c r="S10" s="13">
        <f>SQRT(4*S9/(PI()))*12</f>
        <v>9.8058681624015058</v>
      </c>
      <c r="T10" s="15">
        <v>8</v>
      </c>
      <c r="V10" t="s">
        <v>12</v>
      </c>
      <c r="W10">
        <f>$C$2/$C$3*10</f>
        <v>3933.333333333333</v>
      </c>
      <c r="X10" s="33">
        <f>J20</f>
        <v>24</v>
      </c>
      <c r="AE10">
        <f>AE9/AF10</f>
        <v>4579.8816568047341</v>
      </c>
      <c r="AF10">
        <f>AG10*AG10/4*PI()/144</f>
        <v>0.92175201120950534</v>
      </c>
      <c r="AG10">
        <v>13</v>
      </c>
    </row>
    <row r="11" spans="2:45" ht="15.75" thickBot="1" x14ac:dyDescent="0.3">
      <c r="C11" s="1"/>
      <c r="V11" t="s">
        <v>13</v>
      </c>
      <c r="W11">
        <f>$C$2/$C$3*11</f>
        <v>4326.6666666666661</v>
      </c>
      <c r="X11" s="33">
        <f>O20</f>
        <v>28</v>
      </c>
      <c r="AJ11">
        <f>SUM(AG15:AG16)</f>
        <v>1139.3939393939393</v>
      </c>
      <c r="AK11">
        <f t="shared" ref="AK11:AK12" si="2">AJ11/3000</f>
        <v>0.37979797979797975</v>
      </c>
      <c r="AL11">
        <f>SQRT(4*AK11/(PI()))*12</f>
        <v>8.3447365561808624</v>
      </c>
    </row>
    <row r="12" spans="2:45" ht="15.75" thickBot="1" x14ac:dyDescent="0.3">
      <c r="B12" s="6" t="s">
        <v>7</v>
      </c>
      <c r="C12" s="7">
        <f>W5</f>
        <v>1966.6666666666665</v>
      </c>
      <c r="D12" s="7"/>
      <c r="E12" s="8"/>
      <c r="F12" s="1"/>
      <c r="G12" s="6" t="s">
        <v>8</v>
      </c>
      <c r="H12" s="7">
        <f>W6</f>
        <v>2360</v>
      </c>
      <c r="I12" s="7"/>
      <c r="J12" s="8"/>
      <c r="L12" s="6" t="s">
        <v>9</v>
      </c>
      <c r="M12" s="7">
        <f>W7</f>
        <v>2753.333333333333</v>
      </c>
      <c r="N12" s="7"/>
      <c r="O12" s="8"/>
      <c r="P12" s="3"/>
      <c r="Q12" s="6" t="s">
        <v>10</v>
      </c>
      <c r="R12" s="7">
        <f>W8</f>
        <v>3146.6666666666665</v>
      </c>
      <c r="S12" s="7"/>
      <c r="T12" s="8"/>
      <c r="V12" t="s">
        <v>14</v>
      </c>
      <c r="W12">
        <f>$C$2/$C$3*12</f>
        <v>4720</v>
      </c>
      <c r="X12" s="33">
        <f>T20</f>
        <v>30</v>
      </c>
      <c r="AE12">
        <f>AE8+AE4</f>
        <v>1767.1458676442587</v>
      </c>
      <c r="AF12">
        <f>AE12/4500</f>
        <v>0.39269908169872414</v>
      </c>
      <c r="AG12" s="13">
        <f>SQRT(4*AF12/(PI()))*12</f>
        <v>8.4852813742385713</v>
      </c>
      <c r="AJ12">
        <f>SUM(AG16:AG17)</f>
        <v>890.15151515151501</v>
      </c>
      <c r="AK12">
        <f t="shared" si="2"/>
        <v>0.29671717171717166</v>
      </c>
      <c r="AL12">
        <f>SQRT(4*AK12/(PI()))*12</f>
        <v>7.3757747576134562</v>
      </c>
    </row>
    <row r="13" spans="2:45" x14ac:dyDescent="0.25">
      <c r="B13" s="9" t="s">
        <v>2</v>
      </c>
      <c r="C13" s="4">
        <f>$C$4</f>
        <v>2500</v>
      </c>
      <c r="D13" s="4">
        <f>$C$5</f>
        <v>3000</v>
      </c>
      <c r="E13" s="10">
        <f>C12/E14</f>
        <v>3605.8143906899804</v>
      </c>
      <c r="F13" s="1"/>
      <c r="G13" s="9" t="s">
        <v>2</v>
      </c>
      <c r="H13" s="4">
        <f>$C$4</f>
        <v>2500</v>
      </c>
      <c r="I13" s="4">
        <f>$C$5</f>
        <v>3000</v>
      </c>
      <c r="J13" s="10">
        <f>H12/J14</f>
        <v>1081.7443172069941</v>
      </c>
      <c r="K13" s="1"/>
      <c r="L13" s="9" t="s">
        <v>2</v>
      </c>
      <c r="M13" s="4">
        <f>$C$4</f>
        <v>2500</v>
      </c>
      <c r="N13" s="4">
        <f>$C$5</f>
        <v>3000</v>
      </c>
      <c r="O13" s="10">
        <f>M12/O14</f>
        <v>1043.0041625962754</v>
      </c>
      <c r="P13" s="3"/>
      <c r="Q13" s="9" t="s">
        <v>2</v>
      </c>
      <c r="R13" s="4">
        <f>$C$4</f>
        <v>2500</v>
      </c>
      <c r="S13" s="4">
        <f>$C$5</f>
        <v>3000</v>
      </c>
      <c r="T13" s="10">
        <f>R12/T14</f>
        <v>1001.6151085249946</v>
      </c>
      <c r="V13" t="s">
        <v>15</v>
      </c>
      <c r="W13">
        <f>$C$2/$C$3*13</f>
        <v>5113.333333333333</v>
      </c>
      <c r="X13" s="33">
        <f>E25</f>
        <v>22</v>
      </c>
      <c r="AE13">
        <f>AE12/AF13</f>
        <v>5062.5</v>
      </c>
      <c r="AF13">
        <f>AG13*AG13/4*PI()/144</f>
        <v>0.3490658503988659</v>
      </c>
      <c r="AG13">
        <v>8</v>
      </c>
    </row>
    <row r="14" spans="2:45" x14ac:dyDescent="0.25">
      <c r="B14" s="9"/>
      <c r="C14" s="5">
        <f>C12/C13</f>
        <v>0.78666666666666663</v>
      </c>
      <c r="D14" s="5">
        <f>C12/D13</f>
        <v>0.65555555555555556</v>
      </c>
      <c r="E14" s="11">
        <f>(((E15/12)^2)/4)*PI()</f>
        <v>0.54541539124822802</v>
      </c>
      <c r="F14" s="2"/>
      <c r="G14" s="9"/>
      <c r="H14" s="5">
        <f>H12/H13</f>
        <v>0.94399999999999995</v>
      </c>
      <c r="I14" s="5">
        <f>H12/I13</f>
        <v>0.78666666666666663</v>
      </c>
      <c r="J14" s="11">
        <f>(((J15/12)^2)/4)*PI()</f>
        <v>2.1816615649929121</v>
      </c>
      <c r="K14" s="2"/>
      <c r="L14" s="9"/>
      <c r="M14" s="5">
        <f>M12/M13</f>
        <v>1.1013333333333333</v>
      </c>
      <c r="N14" s="5">
        <f>M12/N13</f>
        <v>0.91777777777777769</v>
      </c>
      <c r="O14" s="11">
        <f>(((O15/12)^2)/4)*PI()</f>
        <v>2.6398104936414231</v>
      </c>
      <c r="P14" s="2"/>
      <c r="Q14" s="9"/>
      <c r="R14" s="5">
        <f>R12/R13</f>
        <v>1.2586666666666666</v>
      </c>
      <c r="S14" s="5">
        <f>R12/S13</f>
        <v>1.0488888888888888</v>
      </c>
      <c r="T14" s="11">
        <f>(((T15/12)^2)/4)*PI()</f>
        <v>3.1415926535897931</v>
      </c>
      <c r="V14" t="s">
        <v>16</v>
      </c>
      <c r="W14">
        <f>$C$2/$C$3*14</f>
        <v>5506.6666666666661</v>
      </c>
      <c r="X14" s="33">
        <f>J25</f>
        <v>24</v>
      </c>
    </row>
    <row r="15" spans="2:45" ht="15.75" thickBot="1" x14ac:dyDescent="0.3">
      <c r="B15" s="12"/>
      <c r="C15" s="13">
        <f>SQRT(4*C14/(PI()))*12</f>
        <v>12.009686741443311</v>
      </c>
      <c r="D15" s="13">
        <f>SQRT(4*D14/(PI()))*12</f>
        <v>10.963293894765357</v>
      </c>
      <c r="E15" s="15">
        <v>10</v>
      </c>
      <c r="F15" s="2"/>
      <c r="G15" s="12"/>
      <c r="H15" s="13">
        <f>SQRT(4*H14/(PI()))*12</f>
        <v>13.15595267371843</v>
      </c>
      <c r="I15" s="13">
        <f>SQRT(4*I14/(PI()))*12</f>
        <v>12.009686741443311</v>
      </c>
      <c r="J15" s="15">
        <v>20</v>
      </c>
      <c r="K15" s="2"/>
      <c r="L15" s="12"/>
      <c r="M15" s="13">
        <f>SQRT(4*M14/(PI()))*12</f>
        <v>14.210052986482454</v>
      </c>
      <c r="N15" s="13">
        <f>SQRT(4*N14/(PI()))*12</f>
        <v>12.971944273400155</v>
      </c>
      <c r="O15" s="14">
        <v>22</v>
      </c>
      <c r="P15" s="2"/>
      <c r="Q15" s="12"/>
      <c r="R15" s="13">
        <f>SQRT(4*R14/(PI()))*12</f>
        <v>15.191185635234623</v>
      </c>
      <c r="S15" s="13">
        <f>SQRT(4*S14/(PI()))*12</f>
        <v>13.867591746110747</v>
      </c>
      <c r="T15" s="15">
        <v>24</v>
      </c>
      <c r="V15" t="s">
        <v>17</v>
      </c>
      <c r="W15">
        <f>$C$2/$C$3*15</f>
        <v>5900</v>
      </c>
      <c r="X15" s="33">
        <f>O25</f>
        <v>24</v>
      </c>
      <c r="AC15">
        <v>8</v>
      </c>
      <c r="AD15" s="44">
        <f>AC15*AC15/4*PI()/144</f>
        <v>0.3490658503988659</v>
      </c>
      <c r="AE15">
        <f>AD15*3000</f>
        <v>1047.1975511965977</v>
      </c>
      <c r="AF15" s="43">
        <f t="shared" ref="AF15:AF18" si="3">AE15/$AE$20</f>
        <v>0.2424242424242424</v>
      </c>
      <c r="AG15">
        <f>AF15*$AG$25</f>
        <v>569.69696969696963</v>
      </c>
      <c r="AH15">
        <f>AG15/3000</f>
        <v>0.18989898989898987</v>
      </c>
      <c r="AI15">
        <f>SQRT(4*AH15/(PI()))*12</f>
        <v>5.9006198060907655</v>
      </c>
      <c r="AJ15">
        <v>6</v>
      </c>
      <c r="AK15" s="44">
        <f>AJ15*AJ15/4*PI()/144</f>
        <v>0.19634954084936207</v>
      </c>
      <c r="AL15">
        <f t="shared" ref="AL15:AL18" si="4">AG15/AK15</f>
        <v>2901.4428413358855</v>
      </c>
    </row>
    <row r="16" spans="2:45" ht="15.75" thickBot="1" x14ac:dyDescent="0.3">
      <c r="V16" t="s">
        <v>18</v>
      </c>
      <c r="W16">
        <f>$C$2/$C$3*16</f>
        <v>6293.333333333333</v>
      </c>
      <c r="X16" s="33">
        <f>T25</f>
        <v>24</v>
      </c>
      <c r="AC16">
        <v>8</v>
      </c>
      <c r="AD16" s="44">
        <f t="shared" ref="AD16:AD19" si="5">AC16*AC16/4*PI()/144</f>
        <v>0.3490658503988659</v>
      </c>
      <c r="AE16">
        <f t="shared" ref="AE16:AE19" si="6">AD16*3000</f>
        <v>1047.1975511965977</v>
      </c>
      <c r="AF16" s="43">
        <f t="shared" si="3"/>
        <v>0.2424242424242424</v>
      </c>
      <c r="AG16">
        <f>AF16*$AG$25</f>
        <v>569.69696969696963</v>
      </c>
      <c r="AH16">
        <f t="shared" ref="AH16:AH19" si="7">AG16/3000</f>
        <v>0.18989898989898987</v>
      </c>
      <c r="AI16">
        <f t="shared" ref="AI16:AI19" si="8">SQRT(4*AH16/(PI()))*12</f>
        <v>5.9006198060907655</v>
      </c>
      <c r="AJ16">
        <v>6</v>
      </c>
      <c r="AK16" s="44">
        <f t="shared" ref="AK16:AK19" si="9">AJ16*AJ16/4*PI()/144</f>
        <v>0.19634954084936207</v>
      </c>
      <c r="AL16">
        <f t="shared" si="4"/>
        <v>2901.4428413358855</v>
      </c>
      <c r="AN16">
        <f>AG16+AG17+AG15</f>
        <v>1459.8484848484845</v>
      </c>
      <c r="AO16">
        <f t="shared" ref="AO16" si="10">AN16/3000</f>
        <v>0.4866161616161615</v>
      </c>
      <c r="AP16">
        <f t="shared" ref="AP16" si="11">SQRT(4*AO16/(PI()))*12</f>
        <v>9.4456004240640237</v>
      </c>
      <c r="AQ16">
        <v>10</v>
      </c>
      <c r="AR16" s="44">
        <f t="shared" ref="AR16" si="12">AQ16*AQ16/4*PI()/144</f>
        <v>0.54541539124822802</v>
      </c>
      <c r="AS16">
        <f t="shared" ref="AS16" si="13">AN16/AR16</f>
        <v>2676.5810211323542</v>
      </c>
    </row>
    <row r="17" spans="2:38" x14ac:dyDescent="0.25">
      <c r="B17" s="6" t="s">
        <v>11</v>
      </c>
      <c r="C17" s="7">
        <f>W9</f>
        <v>3540</v>
      </c>
      <c r="D17" s="7"/>
      <c r="E17" s="8"/>
      <c r="F17" s="1"/>
      <c r="G17" s="6" t="s">
        <v>12</v>
      </c>
      <c r="H17" s="7">
        <f>W10</f>
        <v>3933.333333333333</v>
      </c>
      <c r="I17" s="7"/>
      <c r="J17" s="8"/>
      <c r="L17" s="6" t="s">
        <v>13</v>
      </c>
      <c r="M17" s="7">
        <f>W11</f>
        <v>4326.6666666666661</v>
      </c>
      <c r="N17" s="7"/>
      <c r="O17" s="8"/>
      <c r="P17" s="3"/>
      <c r="Q17" s="6" t="s">
        <v>14</v>
      </c>
      <c r="R17" s="7">
        <f>W12</f>
        <v>4720</v>
      </c>
      <c r="S17" s="7"/>
      <c r="T17" s="8"/>
      <c r="V17" t="s">
        <v>19</v>
      </c>
      <c r="W17">
        <f>$C$2/$C$3*17</f>
        <v>6686.6666666666661</v>
      </c>
      <c r="X17" s="33">
        <f>E30</f>
        <v>24</v>
      </c>
      <c r="AC17">
        <v>6</v>
      </c>
      <c r="AD17" s="44">
        <f t="shared" si="5"/>
        <v>0.19634954084936207</v>
      </c>
      <c r="AE17">
        <f t="shared" si="6"/>
        <v>589.0486225480862</v>
      </c>
      <c r="AF17" s="43">
        <f t="shared" si="3"/>
        <v>0.13636363636363635</v>
      </c>
      <c r="AG17">
        <f>AF17*$AG$25</f>
        <v>320.45454545454544</v>
      </c>
      <c r="AH17">
        <f t="shared" si="7"/>
        <v>0.10681818181818181</v>
      </c>
      <c r="AI17">
        <f t="shared" si="8"/>
        <v>4.4254648545680739</v>
      </c>
      <c r="AJ17">
        <v>5</v>
      </c>
      <c r="AK17" s="44">
        <f t="shared" si="9"/>
        <v>0.13635384781205701</v>
      </c>
      <c r="AL17">
        <f t="shared" si="4"/>
        <v>2350.1687014820673</v>
      </c>
    </row>
    <row r="18" spans="2:38" x14ac:dyDescent="0.25">
      <c r="B18" s="9" t="s">
        <v>2</v>
      </c>
      <c r="C18" s="4">
        <f>$C$4</f>
        <v>2500</v>
      </c>
      <c r="D18" s="4">
        <f>$C$5</f>
        <v>3000</v>
      </c>
      <c r="E18" s="10">
        <f>C17/E19</f>
        <v>1126.816997090619</v>
      </c>
      <c r="F18" s="1"/>
      <c r="G18" s="9" t="s">
        <v>2</v>
      </c>
      <c r="H18" s="4">
        <f>$C$4</f>
        <v>2500</v>
      </c>
      <c r="I18" s="4">
        <f>$C$5</f>
        <v>3000</v>
      </c>
      <c r="J18" s="10">
        <f>H17/J19</f>
        <v>1252.0188856562434</v>
      </c>
      <c r="K18" s="1"/>
      <c r="L18" s="9" t="s">
        <v>2</v>
      </c>
      <c r="M18" s="4">
        <f>$C$4</f>
        <v>2500</v>
      </c>
      <c r="N18" s="4">
        <f>$C$5</f>
        <v>3000</v>
      </c>
      <c r="O18" s="10">
        <f>M17/O19</f>
        <v>1011.8356708568821</v>
      </c>
      <c r="P18" s="3"/>
      <c r="Q18" s="9" t="s">
        <v>2</v>
      </c>
      <c r="R18" s="4">
        <f>$C$4</f>
        <v>2500</v>
      </c>
      <c r="S18" s="4">
        <f>$C$5</f>
        <v>3000</v>
      </c>
      <c r="T18" s="10">
        <f>R17/T19</f>
        <v>961.5505041839948</v>
      </c>
      <c r="V18" t="s">
        <v>20</v>
      </c>
      <c r="W18">
        <f>$C$2/$C$3*18</f>
        <v>7080</v>
      </c>
      <c r="X18" s="33">
        <f>J30</f>
        <v>26</v>
      </c>
      <c r="AC18">
        <v>6</v>
      </c>
      <c r="AD18" s="44">
        <f t="shared" si="5"/>
        <v>0.19634954084936207</v>
      </c>
      <c r="AE18">
        <f t="shared" si="6"/>
        <v>589.0486225480862</v>
      </c>
      <c r="AF18" s="43">
        <f t="shared" si="3"/>
        <v>0.13636363636363635</v>
      </c>
      <c r="AG18">
        <f>AF18*$AG$25</f>
        <v>320.45454545454544</v>
      </c>
      <c r="AH18">
        <f t="shared" si="7"/>
        <v>0.10681818181818181</v>
      </c>
      <c r="AI18">
        <f t="shared" si="8"/>
        <v>4.4254648545680739</v>
      </c>
      <c r="AJ18">
        <v>5</v>
      </c>
      <c r="AK18" s="44">
        <f t="shared" si="9"/>
        <v>0.13635384781205701</v>
      </c>
      <c r="AL18">
        <f t="shared" si="4"/>
        <v>2350.1687014820673</v>
      </c>
    </row>
    <row r="19" spans="2:38" x14ac:dyDescent="0.25">
      <c r="B19" s="9"/>
      <c r="C19" s="5">
        <f>C17/C18</f>
        <v>1.4159999999999999</v>
      </c>
      <c r="D19" s="5">
        <f>C17/D18</f>
        <v>1.18</v>
      </c>
      <c r="E19" s="11">
        <f>(((E20/12)^2)/4)*PI()</f>
        <v>3.1415926535897931</v>
      </c>
      <c r="F19" s="2"/>
      <c r="G19" s="9"/>
      <c r="H19" s="5">
        <f>H17/H18</f>
        <v>1.5733333333333333</v>
      </c>
      <c r="I19" s="5">
        <f>H17/I18</f>
        <v>1.3111111111111111</v>
      </c>
      <c r="J19" s="11">
        <f>(((J20/12)^2)/4)*PI()</f>
        <v>3.1415926535897931</v>
      </c>
      <c r="K19" s="2"/>
      <c r="L19" s="9"/>
      <c r="M19" s="5">
        <f>M17/M18</f>
        <v>1.7306666666666664</v>
      </c>
      <c r="N19" s="5">
        <f>M17/N18</f>
        <v>1.4422222222222221</v>
      </c>
      <c r="O19" s="11">
        <f>(((O20/12)^2)/4)*PI()</f>
        <v>4.2760566673861078</v>
      </c>
      <c r="P19" s="2"/>
      <c r="Q19" s="9"/>
      <c r="R19" s="5">
        <f>R17/R18</f>
        <v>1.8879999999999999</v>
      </c>
      <c r="S19" s="5">
        <f>R17/S18</f>
        <v>1.5733333333333333</v>
      </c>
      <c r="T19" s="11">
        <f>(((T20/12)^2)/4)*PI()</f>
        <v>4.908738521234052</v>
      </c>
      <c r="V19" t="s">
        <v>28</v>
      </c>
      <c r="W19">
        <f>$C$2/$C$3*19</f>
        <v>7473.333333333333</v>
      </c>
      <c r="X19" s="33">
        <f>O30</f>
        <v>26</v>
      </c>
      <c r="AC19">
        <v>8</v>
      </c>
      <c r="AD19" s="44">
        <f t="shared" si="5"/>
        <v>0.3490658503988659</v>
      </c>
      <c r="AE19">
        <f t="shared" si="6"/>
        <v>1047.1975511965977</v>
      </c>
      <c r="AF19" s="43">
        <f>AE19/$AE$20</f>
        <v>0.2424242424242424</v>
      </c>
      <c r="AG19">
        <f>AF19*$AG$25</f>
        <v>569.69696969696963</v>
      </c>
      <c r="AH19">
        <f t="shared" si="7"/>
        <v>0.18989898989898987</v>
      </c>
      <c r="AI19">
        <f t="shared" si="8"/>
        <v>5.9006198060907655</v>
      </c>
      <c r="AJ19">
        <v>6</v>
      </c>
      <c r="AK19" s="44">
        <f t="shared" si="9"/>
        <v>0.19634954084936207</v>
      </c>
      <c r="AL19">
        <f>AG19/AK19</f>
        <v>2901.4428413358855</v>
      </c>
    </row>
    <row r="20" spans="2:38" ht="15.75" thickBot="1" x14ac:dyDescent="0.3">
      <c r="B20" s="12"/>
      <c r="C20" s="13">
        <f>SQRT(4*C19/(PI()))*12</f>
        <v>16.112685565407112</v>
      </c>
      <c r="D20" s="13">
        <f>SQRT(4*D19/(PI()))*12</f>
        <v>14.708802243602259</v>
      </c>
      <c r="E20" s="15">
        <v>24</v>
      </c>
      <c r="F20" s="2"/>
      <c r="G20" s="12"/>
      <c r="H20" s="13">
        <f>SQRT(4*H19/(PI()))*12</f>
        <v>16.984261869601472</v>
      </c>
      <c r="I20" s="13">
        <f>SQRT(4*I19/(PI()))*12</f>
        <v>15.504438914259319</v>
      </c>
      <c r="J20" s="15">
        <v>24</v>
      </c>
      <c r="K20" s="2"/>
      <c r="L20" s="12"/>
      <c r="M20" s="13">
        <f>SQRT(4*M19/(PI()))*12</f>
        <v>17.813244128476946</v>
      </c>
      <c r="N20" s="13">
        <f>SQRT(4*N19/(PI()))*12</f>
        <v>16.261192719188792</v>
      </c>
      <c r="O20" s="15">
        <v>28</v>
      </c>
      <c r="P20" s="2"/>
      <c r="Q20" s="12"/>
      <c r="R20" s="13">
        <f>SQRT(4*R19/(PI()))*12</f>
        <v>18.605326697111185</v>
      </c>
      <c r="S20" s="13">
        <f>SQRT(4*S19/(PI()))*12</f>
        <v>16.984261869601472</v>
      </c>
      <c r="T20" s="15">
        <v>30</v>
      </c>
      <c r="V20" t="s">
        <v>29</v>
      </c>
      <c r="W20">
        <f>$C$2/$C$3*20</f>
        <v>7866.6666666666661</v>
      </c>
      <c r="X20" s="33">
        <f>T30</f>
        <v>26</v>
      </c>
      <c r="AE20">
        <f>SUM(AE15:AE19)</f>
        <v>4319.689898685966</v>
      </c>
    </row>
    <row r="21" spans="2:38" ht="15.75" thickBot="1" x14ac:dyDescent="0.3">
      <c r="V21" t="s">
        <v>30</v>
      </c>
      <c r="W21">
        <f>$C$2/$C$3*21</f>
        <v>8260</v>
      </c>
      <c r="X21" s="33">
        <f>E35</f>
        <v>28</v>
      </c>
    </row>
    <row r="22" spans="2:38" x14ac:dyDescent="0.25">
      <c r="B22" s="6" t="s">
        <v>15</v>
      </c>
      <c r="C22" s="7">
        <f>W13</f>
        <v>5113.333333333333</v>
      </c>
      <c r="D22" s="7"/>
      <c r="E22" s="8"/>
      <c r="F22" s="1"/>
      <c r="G22" s="6" t="s">
        <v>16</v>
      </c>
      <c r="H22" s="7">
        <f>W15</f>
        <v>5900</v>
      </c>
      <c r="I22" s="7"/>
      <c r="J22" s="8"/>
      <c r="L22" s="6" t="s">
        <v>17</v>
      </c>
      <c r="M22" s="7">
        <f>W15</f>
        <v>5900</v>
      </c>
      <c r="N22" s="7"/>
      <c r="O22" s="8"/>
      <c r="P22" s="3"/>
      <c r="Q22" s="6" t="s">
        <v>18</v>
      </c>
      <c r="R22" s="7">
        <f>W16</f>
        <v>6293.333333333333</v>
      </c>
      <c r="S22" s="7"/>
      <c r="T22" s="8"/>
      <c r="V22" t="s">
        <v>31</v>
      </c>
      <c r="W22">
        <f>$C$2/$C$3*22</f>
        <v>8653.3333333333321</v>
      </c>
      <c r="X22" s="33">
        <f>J35</f>
        <v>28</v>
      </c>
    </row>
    <row r="23" spans="2:38" x14ac:dyDescent="0.25">
      <c r="B23" s="9" t="s">
        <v>2</v>
      </c>
      <c r="C23" s="4">
        <f>$C$4</f>
        <v>2500</v>
      </c>
      <c r="D23" s="4">
        <f>$C$5</f>
        <v>3000</v>
      </c>
      <c r="E23" s="10">
        <f>C22/E24</f>
        <v>1937.0077305359403</v>
      </c>
      <c r="F23" s="1"/>
      <c r="G23" s="9" t="s">
        <v>2</v>
      </c>
      <c r="H23" s="4">
        <f>$C$4</f>
        <v>2500</v>
      </c>
      <c r="I23" s="4">
        <f>$C$5</f>
        <v>3000</v>
      </c>
      <c r="J23" s="10">
        <f>H22/J24</f>
        <v>1878.0283284843651</v>
      </c>
      <c r="K23" s="1"/>
      <c r="L23" s="9" t="s">
        <v>2</v>
      </c>
      <c r="M23" s="4">
        <f>$C$4</f>
        <v>2500</v>
      </c>
      <c r="N23" s="4">
        <f>$C$5</f>
        <v>3000</v>
      </c>
      <c r="O23" s="10">
        <f>M22/O24</f>
        <v>1878.0283284843651</v>
      </c>
      <c r="P23" s="3"/>
      <c r="Q23" s="9" t="s">
        <v>2</v>
      </c>
      <c r="R23" s="4">
        <f>$C$4</f>
        <v>2500</v>
      </c>
      <c r="S23" s="4">
        <f>$C$5</f>
        <v>3000</v>
      </c>
      <c r="T23" s="10">
        <f>R22/T24</f>
        <v>2003.2302170499893</v>
      </c>
      <c r="V23" t="s">
        <v>32</v>
      </c>
      <c r="W23">
        <f>$C$2/$C$3*23</f>
        <v>9046.6666666666661</v>
      </c>
      <c r="X23" s="33">
        <f>O35</f>
        <v>28</v>
      </c>
    </row>
    <row r="24" spans="2:38" x14ac:dyDescent="0.25">
      <c r="B24" s="9"/>
      <c r="C24" s="5">
        <f>C22/C23</f>
        <v>2.0453333333333332</v>
      </c>
      <c r="D24" s="5">
        <f>C22/D23</f>
        <v>1.7044444444444444</v>
      </c>
      <c r="E24" s="11">
        <f>(((E25/12)^2)/4)*PI()</f>
        <v>2.6398104936414231</v>
      </c>
      <c r="F24" s="2"/>
      <c r="G24" s="9"/>
      <c r="H24" s="5">
        <f>H22/H23</f>
        <v>2.36</v>
      </c>
      <c r="I24" s="5">
        <f>H22/I23</f>
        <v>1.9666666666666666</v>
      </c>
      <c r="J24" s="11">
        <f>(((J25/12)^2)/4)*PI()</f>
        <v>3.1415926535897931</v>
      </c>
      <c r="K24" s="2"/>
      <c r="L24" s="9"/>
      <c r="M24" s="5">
        <f>M22/M23</f>
        <v>2.36</v>
      </c>
      <c r="N24" s="5">
        <f>M22/N23</f>
        <v>1.9666666666666666</v>
      </c>
      <c r="O24" s="11">
        <f>(((O25/12)^2)/4)*PI()</f>
        <v>3.1415926535897931</v>
      </c>
      <c r="P24" s="2"/>
      <c r="Q24" s="9"/>
      <c r="R24" s="5">
        <f>R22/R23</f>
        <v>2.5173333333333332</v>
      </c>
      <c r="S24" s="5">
        <f>R22/S23</f>
        <v>2.0977777777777775</v>
      </c>
      <c r="T24" s="11">
        <f>(((T25/12)^2)/4)*PI()</f>
        <v>3.1415926535897931</v>
      </c>
      <c r="V24" t="s">
        <v>33</v>
      </c>
      <c r="W24">
        <f>$C$2/$C$3*24</f>
        <v>9440</v>
      </c>
      <c r="X24" s="33">
        <f>T35</f>
        <v>30</v>
      </c>
    </row>
    <row r="25" spans="2:38" ht="15.75" thickBot="1" x14ac:dyDescent="0.3">
      <c r="B25" s="12"/>
      <c r="C25" s="13">
        <f>SQRT(4*C24/(PI()))*12</f>
        <v>19.365037997167938</v>
      </c>
      <c r="D25" s="13">
        <f>SQRT(4*D24/(PI()))*12</f>
        <v>17.677780229989239</v>
      </c>
      <c r="E25" s="15">
        <v>22</v>
      </c>
      <c r="F25" s="2"/>
      <c r="G25" s="12"/>
      <c r="H25" s="13">
        <f>SQRT(4*H24/(PI()))*12</f>
        <v>20.801387619166125</v>
      </c>
      <c r="I25" s="13">
        <f>SQRT(4*I24/(PI()))*12</f>
        <v>18.988982044043279</v>
      </c>
      <c r="J25" s="15">
        <v>24</v>
      </c>
      <c r="K25" s="2"/>
      <c r="L25" s="12"/>
      <c r="M25" s="13">
        <f>SQRT(4*M24/(PI()))*12</f>
        <v>20.801387619166125</v>
      </c>
      <c r="N25" s="13">
        <f>SQRT(4*N24/(PI()))*12</f>
        <v>18.988982044043279</v>
      </c>
      <c r="O25" s="15">
        <v>24</v>
      </c>
      <c r="P25" s="2"/>
      <c r="Q25" s="12"/>
      <c r="R25" s="13">
        <f>SQRT(4*R24/(PI()))*12</f>
        <v>21.483580753876147</v>
      </c>
      <c r="S25" s="13">
        <f>SQRT(4*S24/(PI()))*12</f>
        <v>19.611736324803012</v>
      </c>
      <c r="T25" s="15">
        <v>24</v>
      </c>
      <c r="V25" t="s">
        <v>56</v>
      </c>
      <c r="W25">
        <f>$C$2/$C$3*25</f>
        <v>9833.3333333333321</v>
      </c>
      <c r="X25" s="33">
        <f t="shared" ref="X25:X28" si="14">T36</f>
        <v>0</v>
      </c>
      <c r="AG25">
        <v>2350</v>
      </c>
      <c r="AH25">
        <f>AG25/3000</f>
        <v>0.78333333333333333</v>
      </c>
      <c r="AI25">
        <f>SQRT(4*AH25/(PI()))*12</f>
        <v>11.984215478959245</v>
      </c>
      <c r="AJ25">
        <v>12</v>
      </c>
      <c r="AK25" s="44">
        <f>AJ25*AJ25/4*PI()/144</f>
        <v>0.78539816339744828</v>
      </c>
      <c r="AL25">
        <f>AG25/AK25</f>
        <v>2992.1129301276324</v>
      </c>
    </row>
    <row r="26" spans="2:38" ht="15.75" thickBot="1" x14ac:dyDescent="0.3">
      <c r="V26" t="s">
        <v>57</v>
      </c>
      <c r="W26">
        <f>$C$2/$C$3*26</f>
        <v>10226.666666666666</v>
      </c>
      <c r="X26" s="33">
        <f t="shared" si="14"/>
        <v>0</v>
      </c>
      <c r="Y26" t="s">
        <v>48</v>
      </c>
      <c r="Z26" t="s">
        <v>49</v>
      </c>
      <c r="AA26" t="s">
        <v>50</v>
      </c>
      <c r="AB26" t="s">
        <v>51</v>
      </c>
      <c r="AC26" t="s">
        <v>52</v>
      </c>
    </row>
    <row r="27" spans="2:38" x14ac:dyDescent="0.25">
      <c r="B27" s="6" t="s">
        <v>19</v>
      </c>
      <c r="C27" s="7">
        <f>W17</f>
        <v>6686.6666666666661</v>
      </c>
      <c r="D27" s="7"/>
      <c r="E27" s="8"/>
      <c r="F27" s="1"/>
      <c r="G27" s="6" t="s">
        <v>20</v>
      </c>
      <c r="H27" s="7">
        <f>W18</f>
        <v>7080</v>
      </c>
      <c r="I27" s="7"/>
      <c r="J27" s="8"/>
      <c r="L27" s="6" t="s">
        <v>28</v>
      </c>
      <c r="M27" s="7">
        <f>W19</f>
        <v>7473.333333333333</v>
      </c>
      <c r="N27" s="7"/>
      <c r="O27" s="8"/>
      <c r="Q27" s="6" t="s">
        <v>29</v>
      </c>
      <c r="R27" s="7">
        <f>W20</f>
        <v>7866.6666666666661</v>
      </c>
      <c r="S27" s="7"/>
      <c r="T27" s="8"/>
      <c r="V27" t="s">
        <v>58</v>
      </c>
      <c r="W27">
        <f>$C$2/$C$3*27</f>
        <v>10620</v>
      </c>
      <c r="X27" s="33">
        <f t="shared" si="14"/>
        <v>7887.7189796343328</v>
      </c>
      <c r="Y27">
        <v>4000</v>
      </c>
      <c r="Z27">
        <v>2500</v>
      </c>
      <c r="AA27">
        <f>Y27/Z27</f>
        <v>1.6</v>
      </c>
      <c r="AB27">
        <v>3</v>
      </c>
      <c r="AC27">
        <f>AA27/AB27*12</f>
        <v>6.4</v>
      </c>
    </row>
    <row r="28" spans="2:38" x14ac:dyDescent="0.25">
      <c r="B28" s="9" t="s">
        <v>2</v>
      </c>
      <c r="C28" s="4">
        <f>$C$4</f>
        <v>2500</v>
      </c>
      <c r="D28" s="4">
        <f>$C$5</f>
        <v>3000</v>
      </c>
      <c r="E28" s="10">
        <f>C27/E29</f>
        <v>2128.4321056156136</v>
      </c>
      <c r="F28" s="1"/>
      <c r="G28" s="9" t="s">
        <v>2</v>
      </c>
      <c r="H28" s="4">
        <f>$C$4</f>
        <v>2500</v>
      </c>
      <c r="I28" s="4">
        <f>$C$5</f>
        <v>3000</v>
      </c>
      <c r="J28" s="10">
        <f>H27/J29</f>
        <v>1920.2561843911144</v>
      </c>
      <c r="L28" s="9" t="s">
        <v>2</v>
      </c>
      <c r="M28" s="4">
        <f>$C$4</f>
        <v>2500</v>
      </c>
      <c r="N28" s="4">
        <f>$C$5</f>
        <v>3000</v>
      </c>
      <c r="O28" s="10">
        <f>M27/O29</f>
        <v>2026.937083523954</v>
      </c>
      <c r="Q28" s="9" t="s">
        <v>2</v>
      </c>
      <c r="R28" s="4">
        <f>$C$4</f>
        <v>2500</v>
      </c>
      <c r="S28" s="4">
        <f>$C$5</f>
        <v>3000</v>
      </c>
      <c r="T28" s="10">
        <f>R27/T29</f>
        <v>2133.6179826567936</v>
      </c>
      <c r="U28" s="10">
        <f>R27/U29</f>
        <v>1247.6866403771558</v>
      </c>
      <c r="V28" t="s">
        <v>59</v>
      </c>
      <c r="W28">
        <f>$C$2/$C$3*28</f>
        <v>11013.333333333332</v>
      </c>
      <c r="X28" s="33">
        <f t="shared" si="14"/>
        <v>1.3962634015954636</v>
      </c>
      <c r="Y28">
        <v>4000</v>
      </c>
      <c r="Z28">
        <f>Y28/AA28</f>
        <v>2666.6666666666665</v>
      </c>
      <c r="AA28">
        <f>AB28*AC28/12</f>
        <v>1.5</v>
      </c>
      <c r="AB28">
        <v>3</v>
      </c>
      <c r="AC28">
        <v>6</v>
      </c>
    </row>
    <row r="29" spans="2:38" x14ac:dyDescent="0.25">
      <c r="B29" s="9"/>
      <c r="C29" s="5">
        <f>C27/C28</f>
        <v>2.6746666666666665</v>
      </c>
      <c r="D29" s="5">
        <f>C27/D28</f>
        <v>2.2288888888888887</v>
      </c>
      <c r="E29" s="11">
        <f>(((E30/12)^2)/4)*PI()</f>
        <v>3.1415926535897931</v>
      </c>
      <c r="F29" s="2"/>
      <c r="G29" s="9"/>
      <c r="H29" s="5">
        <f>H27/H28</f>
        <v>2.8319999999999999</v>
      </c>
      <c r="I29" s="5">
        <f>H27/I28</f>
        <v>2.36</v>
      </c>
      <c r="J29" s="11">
        <f>(((J30/12)^2)/4)*PI()</f>
        <v>3.6870080448380205</v>
      </c>
      <c r="L29" s="9"/>
      <c r="M29" s="5">
        <f>M27/M28</f>
        <v>2.9893333333333332</v>
      </c>
      <c r="N29" s="5">
        <f>M27/N28</f>
        <v>2.4911111111111111</v>
      </c>
      <c r="O29" s="11">
        <f>(((O30/12)^2)/4)*PI()</f>
        <v>3.6870080448380205</v>
      </c>
      <c r="Q29" s="9"/>
      <c r="R29" s="5">
        <f>R27/R28</f>
        <v>3.1466666666666665</v>
      </c>
      <c r="S29" s="5">
        <f>R27/S28</f>
        <v>2.6222222222222222</v>
      </c>
      <c r="T29" s="11">
        <f>(((T30/12)^2)/4)*PI()</f>
        <v>3.6870080448380205</v>
      </c>
      <c r="U29" s="11">
        <f>(((U30/12)^2)/4)*PI()</f>
        <v>6.3050019228295158</v>
      </c>
      <c r="V29" t="s">
        <v>60</v>
      </c>
      <c r="W29">
        <f>$C$2/$C$3*29</f>
        <v>11406.666666666666</v>
      </c>
    </row>
    <row r="30" spans="2:38" ht="15.75" thickBot="1" x14ac:dyDescent="0.3">
      <c r="B30" s="12"/>
      <c r="C30" s="13">
        <f>SQRT(4*C29/(PI()))*12</f>
        <v>22.14476816617951</v>
      </c>
      <c r="D30" s="13">
        <f>SQRT(4*D29/(PI()))*12</f>
        <v>20.215315092231378</v>
      </c>
      <c r="E30" s="15">
        <v>24</v>
      </c>
      <c r="F30" s="2"/>
      <c r="G30" s="12"/>
      <c r="H30" s="13">
        <f>SQRT(4*H29/(PI()))*12</f>
        <v>22.786778452851934</v>
      </c>
      <c r="I30" s="13">
        <f>SQRT(4*I29/(PI()))*12</f>
        <v>20.801387619166125</v>
      </c>
      <c r="J30" s="15">
        <v>26</v>
      </c>
      <c r="L30" s="12"/>
      <c r="M30" s="13">
        <f>SQRT(4*M29/(PI()))*12</f>
        <v>23.41118936288537</v>
      </c>
      <c r="N30" s="13">
        <f>SQRT(4*N29/(PI()))*12</f>
        <v>21.371394186795527</v>
      </c>
      <c r="O30" s="15">
        <v>26</v>
      </c>
      <c r="Q30" s="12"/>
      <c r="R30" s="13">
        <f>SQRT(4*R29/(PI()))*12</f>
        <v>24.019373482886621</v>
      </c>
      <c r="S30" s="13">
        <f>SQRT(4*S29/(PI()))*12</f>
        <v>21.926587789530714</v>
      </c>
      <c r="T30" s="15">
        <v>26</v>
      </c>
      <c r="U30" s="15">
        <v>34</v>
      </c>
      <c r="V30" t="s">
        <v>61</v>
      </c>
      <c r="W30">
        <f>$C$2/$C$3*30</f>
        <v>11800</v>
      </c>
    </row>
    <row r="31" spans="2:38" ht="15.75" thickBot="1" x14ac:dyDescent="0.3"/>
    <row r="32" spans="2:38" x14ac:dyDescent="0.25">
      <c r="B32" s="6" t="s">
        <v>30</v>
      </c>
      <c r="C32" s="7">
        <f>W21</f>
        <v>8260</v>
      </c>
      <c r="D32" s="7"/>
      <c r="E32" s="8"/>
      <c r="F32" s="1"/>
      <c r="G32" s="6" t="s">
        <v>31</v>
      </c>
      <c r="H32" s="7">
        <f>W22</f>
        <v>8653.3333333333321</v>
      </c>
      <c r="I32" s="7"/>
      <c r="J32" s="8"/>
      <c r="L32" s="6" t="s">
        <v>32</v>
      </c>
      <c r="M32" s="7">
        <f>W23</f>
        <v>9046.6666666666661</v>
      </c>
      <c r="N32" s="7"/>
      <c r="O32" s="8"/>
      <c r="Q32" s="6" t="s">
        <v>33</v>
      </c>
      <c r="R32" s="7">
        <f>W24</f>
        <v>9440</v>
      </c>
      <c r="S32" s="7"/>
      <c r="T32" s="8"/>
    </row>
    <row r="33" spans="2:25" x14ac:dyDescent="0.25">
      <c r="B33" s="9" t="s">
        <v>2</v>
      </c>
      <c r="C33" s="4">
        <f>$C$4</f>
        <v>2500</v>
      </c>
      <c r="D33" s="4">
        <f>$C$5</f>
        <v>3000</v>
      </c>
      <c r="E33" s="10">
        <f>C32/E34</f>
        <v>1931.6862807267753</v>
      </c>
      <c r="F33" s="1"/>
      <c r="G33" s="9" t="s">
        <v>2</v>
      </c>
      <c r="H33" s="4">
        <f>$C$4</f>
        <v>2500</v>
      </c>
      <c r="I33" s="4">
        <f>$C$5</f>
        <v>3000</v>
      </c>
      <c r="J33" s="10">
        <f>H32/J34</f>
        <v>2023.6713417137641</v>
      </c>
      <c r="L33" s="9" t="s">
        <v>2</v>
      </c>
      <c r="M33" s="4">
        <f>$C$4</f>
        <v>2500</v>
      </c>
      <c r="N33" s="4">
        <f>$C$5</f>
        <v>3000</v>
      </c>
      <c r="O33" s="10">
        <f>M32/O34</f>
        <v>2115.6564027007539</v>
      </c>
      <c r="Q33" s="9" t="s">
        <v>2</v>
      </c>
      <c r="R33" s="4">
        <f>$C$4</f>
        <v>2500</v>
      </c>
      <c r="S33" s="4">
        <f>$C$5</f>
        <v>3000</v>
      </c>
      <c r="T33" s="10">
        <f>R32/T34</f>
        <v>1923.1010083679896</v>
      </c>
    </row>
    <row r="34" spans="2:25" x14ac:dyDescent="0.25">
      <c r="B34" s="9"/>
      <c r="C34" s="5">
        <f>C32/C33</f>
        <v>3.3039999999999998</v>
      </c>
      <c r="D34" s="5">
        <f>C32/D33</f>
        <v>2.7533333333333334</v>
      </c>
      <c r="E34" s="11">
        <f>(((E35/12)^2)/4)*PI()</f>
        <v>4.2760566673861078</v>
      </c>
      <c r="F34" s="2"/>
      <c r="G34" s="9"/>
      <c r="H34" s="5">
        <f>H32/H33</f>
        <v>3.4613333333333327</v>
      </c>
      <c r="I34" s="5">
        <f>H32/I33</f>
        <v>2.8844444444444441</v>
      </c>
      <c r="J34" s="11">
        <f>(((J35/12)^2)/4)*PI()</f>
        <v>4.2760566673861078</v>
      </c>
      <c r="L34" s="9"/>
      <c r="M34" s="5">
        <f>M32/M33</f>
        <v>3.6186666666666665</v>
      </c>
      <c r="N34" s="5">
        <f>M32/N33</f>
        <v>3.0155555555555553</v>
      </c>
      <c r="O34" s="11">
        <f>(((O35/12)^2)/4)*PI()</f>
        <v>4.2760566673861078</v>
      </c>
      <c r="Q34" s="9"/>
      <c r="R34" s="5">
        <f>R32/R33</f>
        <v>3.7759999999999998</v>
      </c>
      <c r="S34" s="5">
        <f>R32/S33</f>
        <v>3.1466666666666665</v>
      </c>
      <c r="T34" s="11">
        <f>(((T35/12)^2)/4)*PI()</f>
        <v>4.908738521234052</v>
      </c>
      <c r="X34">
        <f>6400/3</f>
        <v>2133.3333333333335</v>
      </c>
      <c r="Y34">
        <f>X34/254</f>
        <v>8.3989501312335957</v>
      </c>
    </row>
    <row r="35" spans="2:25" ht="15.75" thickBot="1" x14ac:dyDescent="0.3">
      <c r="B35" s="12"/>
      <c r="C35" s="13">
        <f>SQRT(4*C34/(PI()))*12</f>
        <v>24.612533750833471</v>
      </c>
      <c r="D35" s="13">
        <f>SQRT(4*D34/(PI()))*12</f>
        <v>22.468066554481215</v>
      </c>
      <c r="E35" s="15">
        <v>28</v>
      </c>
      <c r="F35" s="2"/>
      <c r="G35" s="12"/>
      <c r="H35" s="13">
        <f>SQRT(4*H34/(PI()))*12</f>
        <v>25.191731436354992</v>
      </c>
      <c r="I35" s="13">
        <f>SQRT(4*I34/(PI()))*12</f>
        <v>22.996799283839415</v>
      </c>
      <c r="J35" s="15">
        <v>28</v>
      </c>
      <c r="L35" s="12"/>
      <c r="M35" s="13">
        <f>SQRT(4*M34/(PI()))*12</f>
        <v>25.757908453268413</v>
      </c>
      <c r="N35" s="13">
        <f>SQRT(4*N34/(PI()))*12</f>
        <v>23.513645823346856</v>
      </c>
      <c r="O35" s="15">
        <v>28</v>
      </c>
      <c r="Q35" s="12"/>
      <c r="R35" s="13">
        <f>SQRT(4*R34/(PI()))*12</f>
        <v>26.311905347436859</v>
      </c>
      <c r="S35" s="13">
        <f>SQRT(4*S34/(PI()))*12</f>
        <v>24.019373482886621</v>
      </c>
      <c r="T35" s="15">
        <v>30</v>
      </c>
      <c r="X35">
        <f>800*12/3</f>
        <v>3200</v>
      </c>
      <c r="Y35">
        <f>X35/254</f>
        <v>12.598425196850394</v>
      </c>
    </row>
    <row r="36" spans="2:25" ht="15.75" thickBot="1" x14ac:dyDescent="0.3"/>
    <row r="37" spans="2:25" x14ac:dyDescent="0.25">
      <c r="B37" s="6" t="str">
        <f>V25</f>
        <v>drop 25</v>
      </c>
      <c r="C37" s="7">
        <f>W25</f>
        <v>9833.3333333333321</v>
      </c>
      <c r="D37" s="7"/>
      <c r="E37" s="8"/>
      <c r="F37" s="1"/>
      <c r="G37" s="6" t="str">
        <f>V26</f>
        <v>drop 26</v>
      </c>
      <c r="H37" s="7">
        <f>W26</f>
        <v>10226.666666666666</v>
      </c>
      <c r="I37" s="7"/>
      <c r="J37" s="8"/>
      <c r="L37" s="6" t="str">
        <f>V27</f>
        <v>drop 27</v>
      </c>
      <c r="M37" s="7">
        <f>W27</f>
        <v>10620</v>
      </c>
      <c r="N37" s="7"/>
      <c r="O37" s="8"/>
      <c r="Q37" s="6" t="str">
        <f>V28</f>
        <v>drop 28</v>
      </c>
      <c r="R37" s="7">
        <f>W28</f>
        <v>11013.333333333332</v>
      </c>
      <c r="S37" s="7"/>
      <c r="T37" s="8"/>
    </row>
    <row r="38" spans="2:25" x14ac:dyDescent="0.25">
      <c r="B38" s="9" t="s">
        <v>2</v>
      </c>
      <c r="C38" s="4">
        <f>$C$4</f>
        <v>2500</v>
      </c>
      <c r="D38" s="4">
        <f>$C$5</f>
        <v>3000</v>
      </c>
      <c r="E38" s="10">
        <f>C37/E39</f>
        <v>2003.2302170499891</v>
      </c>
      <c r="F38" s="1"/>
      <c r="G38" s="9" t="s">
        <v>2</v>
      </c>
      <c r="H38" s="4">
        <f>$C$4</f>
        <v>2500</v>
      </c>
      <c r="I38" s="4">
        <f>$C$5</f>
        <v>3000</v>
      </c>
      <c r="J38" s="10">
        <f>H37/J39</f>
        <v>7324.3104810890236</v>
      </c>
      <c r="L38" s="9" t="s">
        <v>2</v>
      </c>
      <c r="M38" s="4">
        <f>$C$4</f>
        <v>2500</v>
      </c>
      <c r="N38" s="4">
        <f>$C$5</f>
        <v>3000</v>
      </c>
      <c r="O38" s="10">
        <f>M37/O39</f>
        <v>7606.0147303616786</v>
      </c>
      <c r="Q38" s="9" t="s">
        <v>2</v>
      </c>
      <c r="R38" s="4">
        <f>$C$4</f>
        <v>2500</v>
      </c>
      <c r="S38" s="4">
        <f>$C$5</f>
        <v>3000</v>
      </c>
      <c r="T38" s="10">
        <f>R37/T39</f>
        <v>7887.7189796343328</v>
      </c>
    </row>
    <row r="39" spans="2:25" x14ac:dyDescent="0.25">
      <c r="B39" s="9"/>
      <c r="C39" s="5">
        <f>C37/C38</f>
        <v>3.9333333333333327</v>
      </c>
      <c r="D39" s="5">
        <f>C37/D38</f>
        <v>3.2777777777777772</v>
      </c>
      <c r="E39" s="11">
        <f>(((E40/12)^2)/4)*PI()</f>
        <v>4.908738521234052</v>
      </c>
      <c r="F39" s="2"/>
      <c r="G39" s="9"/>
      <c r="H39" s="5">
        <f>H37/H38</f>
        <v>4.0906666666666665</v>
      </c>
      <c r="I39" s="5">
        <f>H37/I38</f>
        <v>3.4088888888888889</v>
      </c>
      <c r="J39" s="11">
        <f>(((J40/12)^2)/4)*PI()</f>
        <v>1.3962634015954636</v>
      </c>
      <c r="L39" s="9"/>
      <c r="M39" s="5">
        <f>M37/M38</f>
        <v>4.2480000000000002</v>
      </c>
      <c r="N39" s="5">
        <f>M37/N38</f>
        <v>3.54</v>
      </c>
      <c r="O39" s="11">
        <f>(((O40/12)^2)/4)*PI()</f>
        <v>1.3962634015954636</v>
      </c>
      <c r="Q39" s="9"/>
      <c r="R39" s="5">
        <f>R37/R38</f>
        <v>4.4053333333333331</v>
      </c>
      <c r="S39" s="5">
        <f>R37/S38</f>
        <v>3.6711111111111108</v>
      </c>
      <c r="T39" s="11">
        <f>(((T40/12)^2)/4)*PI()</f>
        <v>1.3962634015954636</v>
      </c>
    </row>
    <row r="40" spans="2:25" ht="15.75" thickBot="1" x14ac:dyDescent="0.3">
      <c r="B40" s="12"/>
      <c r="C40" s="13">
        <f>SQRT(4*C39/(PI()))*12</f>
        <v>26.854475942345182</v>
      </c>
      <c r="D40" s="13">
        <f>SQRT(4*D39/(PI()))*12</f>
        <v>24.514670406003766</v>
      </c>
      <c r="E40" s="15">
        <v>30</v>
      </c>
      <c r="F40" s="2"/>
      <c r="G40" s="12"/>
      <c r="H40" s="13">
        <f>SQRT(4*H39/(PI()))*12</f>
        <v>27.386299371465213</v>
      </c>
      <c r="I40" s="13">
        <f>SQRT(4*I39/(PI()))*12</f>
        <v>25.000156553901753</v>
      </c>
      <c r="J40" s="15">
        <v>16</v>
      </c>
      <c r="L40" s="12"/>
      <c r="M40" s="13">
        <f>SQRT(4*M39/(PI()))*12</f>
        <v>27.907990045666779</v>
      </c>
      <c r="N40" s="13">
        <f>SQRT(4*N39/(PI()))*12</f>
        <v>25.476392804402209</v>
      </c>
      <c r="O40" s="15">
        <v>16</v>
      </c>
      <c r="Q40" s="12"/>
      <c r="R40" s="13">
        <f>SQRT(4*R39/(PI()))*12</f>
        <v>28.420105972964908</v>
      </c>
      <c r="S40" s="13">
        <f>SQRT(4*S39/(PI()))*12</f>
        <v>25.943888546800309</v>
      </c>
      <c r="T40" s="15">
        <v>16</v>
      </c>
    </row>
    <row r="41" spans="2:25" ht="15.75" thickBot="1" x14ac:dyDescent="0.3"/>
    <row r="42" spans="2:25" x14ac:dyDescent="0.25">
      <c r="B42" s="6" t="str">
        <f>V29</f>
        <v>drop 29</v>
      </c>
      <c r="C42" s="7">
        <f>W29</f>
        <v>11406.666666666666</v>
      </c>
      <c r="D42" s="7"/>
      <c r="E42" s="8"/>
      <c r="G42" s="6" t="str">
        <f>V30</f>
        <v>drop 30</v>
      </c>
      <c r="H42" s="7">
        <f>W30</f>
        <v>11800</v>
      </c>
      <c r="I42" s="7"/>
      <c r="J42" s="8"/>
    </row>
    <row r="43" spans="2:25" x14ac:dyDescent="0.25">
      <c r="B43" s="9" t="s">
        <v>2</v>
      </c>
      <c r="C43" s="4">
        <f>$C$4</f>
        <v>2500</v>
      </c>
      <c r="D43" s="4">
        <f>$C$5</f>
        <v>3000</v>
      </c>
      <c r="E43" s="10">
        <f>C42/E44</f>
        <v>2042.3558072267469</v>
      </c>
      <c r="G43" s="9" t="s">
        <v>2</v>
      </c>
      <c r="H43" s="4">
        <f>$C$4</f>
        <v>2500</v>
      </c>
      <c r="I43" s="4">
        <f>$C$5</f>
        <v>3000</v>
      </c>
      <c r="J43" s="10">
        <f>H42/J44</f>
        <v>2112.7818695449105</v>
      </c>
    </row>
    <row r="44" spans="2:25" x14ac:dyDescent="0.25">
      <c r="B44" s="9"/>
      <c r="C44" s="5">
        <f>C42/C43</f>
        <v>4.562666666666666</v>
      </c>
      <c r="D44" s="5">
        <f>C42/D43</f>
        <v>3.8022222222222219</v>
      </c>
      <c r="E44" s="11">
        <f>(((E45/12)^2)/4)*PI()</f>
        <v>5.5850536063818543</v>
      </c>
      <c r="G44" s="9"/>
      <c r="H44" s="5">
        <f>H42/H43</f>
        <v>4.72</v>
      </c>
      <c r="I44" s="5">
        <f>H42/I43</f>
        <v>3.9333333333333331</v>
      </c>
      <c r="J44" s="11">
        <f>(((J45/12)^2)/4)*PI()</f>
        <v>5.5850536063818543</v>
      </c>
    </row>
    <row r="45" spans="2:25" ht="15.75" thickBot="1" x14ac:dyDescent="0.3">
      <c r="B45" s="12"/>
      <c r="C45" s="13">
        <f>SQRT(4*C44/(PI()))*12</f>
        <v>28.923155751751491</v>
      </c>
      <c r="D45" s="13">
        <f>SQRT(4*D44/(PI()))*12</f>
        <v>26.403108065782639</v>
      </c>
      <c r="E45" s="15">
        <v>32</v>
      </c>
      <c r="G45" s="12"/>
      <c r="H45" s="13">
        <f>SQRT(4*H44/(PI()))*12</f>
        <v>29.417604487204517</v>
      </c>
      <c r="I45" s="13">
        <f>SQRT(4*I44/(PI()))*12</f>
        <v>26.854475942345182</v>
      </c>
      <c r="J45" s="15">
        <v>32</v>
      </c>
    </row>
  </sheetData>
  <mergeCells count="1">
    <mergeCell ref="G1:H1"/>
  </mergeCells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Z29"/>
  <sheetViews>
    <sheetView workbookViewId="0">
      <selection activeCell="B43" sqref="B43"/>
    </sheetView>
  </sheetViews>
  <sheetFormatPr defaultRowHeight="15" x14ac:dyDescent="0.25"/>
  <cols>
    <col min="5" max="8" width="3" style="16" bestFit="1" customWidth="1"/>
    <col min="9" max="9" width="4" style="16" bestFit="1" customWidth="1"/>
    <col min="10" max="11" width="5.42578125" style="16" customWidth="1"/>
    <col min="12" max="12" width="3.5703125" bestFit="1" customWidth="1"/>
    <col min="13" max="14" width="8.140625" bestFit="1" customWidth="1"/>
    <col min="15" max="15" width="7.140625" bestFit="1" customWidth="1"/>
    <col min="16" max="16" width="6.5703125" bestFit="1" customWidth="1"/>
    <col min="17" max="17" width="4.7109375" bestFit="1" customWidth="1"/>
    <col min="19" max="19" width="3.7109375" bestFit="1" customWidth="1"/>
    <col min="20" max="21" width="8.140625" bestFit="1" customWidth="1"/>
    <col min="22" max="22" width="7.140625" bestFit="1" customWidth="1"/>
    <col min="23" max="23" width="6.5703125" bestFit="1" customWidth="1"/>
    <col min="24" max="24" width="4.7109375" bestFit="1" customWidth="1"/>
  </cols>
  <sheetData>
    <row r="1" spans="5:26" ht="15.75" thickBot="1" x14ac:dyDescent="0.3">
      <c r="J1" s="50"/>
      <c r="K1" s="50"/>
      <c r="L1" s="46"/>
      <c r="M1" s="46"/>
      <c r="N1" s="47"/>
      <c r="O1" s="47"/>
      <c r="P1" s="47"/>
      <c r="Q1" s="47"/>
      <c r="R1" s="48"/>
      <c r="S1" s="48"/>
      <c r="T1" s="48"/>
      <c r="U1" s="47"/>
      <c r="V1" s="47"/>
      <c r="W1" s="47"/>
      <c r="X1" s="47"/>
      <c r="Y1" s="48"/>
      <c r="Z1" s="46"/>
    </row>
    <row r="2" spans="5:26" x14ac:dyDescent="0.25">
      <c r="E2" s="17" t="s">
        <v>23</v>
      </c>
      <c r="F2" s="18" t="s">
        <v>24</v>
      </c>
      <c r="G2" s="18" t="s">
        <v>25</v>
      </c>
      <c r="H2" s="18" t="s">
        <v>26</v>
      </c>
      <c r="I2" s="19" t="s">
        <v>27</v>
      </c>
      <c r="J2" s="45"/>
      <c r="K2" s="45"/>
      <c r="L2" s="54"/>
      <c r="M2" s="45"/>
      <c r="N2" s="46"/>
      <c r="O2" s="48"/>
      <c r="P2" s="48"/>
      <c r="Q2" s="49"/>
      <c r="R2" s="48"/>
      <c r="S2" s="54"/>
      <c r="T2" s="45"/>
      <c r="U2" s="46"/>
      <c r="V2" s="48"/>
      <c r="W2" s="48"/>
      <c r="X2" s="49"/>
      <c r="Y2" s="46"/>
      <c r="Z2" s="46"/>
    </row>
    <row r="3" spans="5:26" ht="15.75" thickBot="1" x14ac:dyDescent="0.3">
      <c r="E3" s="20">
        <v>12</v>
      </c>
      <c r="F3" s="21">
        <v>8</v>
      </c>
      <c r="G3" s="21">
        <v>8</v>
      </c>
      <c r="H3" s="22">
        <f>IF(E3&gt;((G3*2)+6),E3,((G3*2)+6))</f>
        <v>22</v>
      </c>
      <c r="I3" s="23">
        <f>IF(G3&gt;=19,14.5,IF(G3&lt;=12,8.5,11.5))</f>
        <v>8.5</v>
      </c>
      <c r="J3" s="51"/>
      <c r="K3" s="51"/>
      <c r="L3" s="54"/>
      <c r="M3" s="47"/>
      <c r="N3" s="46"/>
      <c r="O3" s="48"/>
      <c r="P3" s="48"/>
      <c r="Q3" s="49"/>
      <c r="R3" s="48"/>
      <c r="S3" s="54"/>
      <c r="T3" s="47"/>
      <c r="U3" s="46"/>
      <c r="V3" s="48"/>
      <c r="W3" s="48"/>
      <c r="X3" s="49"/>
      <c r="Y3" s="46"/>
      <c r="Z3" s="46"/>
    </row>
    <row r="4" spans="5:26" x14ac:dyDescent="0.25">
      <c r="J4" s="50"/>
      <c r="K4" s="50"/>
      <c r="L4" s="46"/>
      <c r="M4" s="46"/>
      <c r="N4" s="46"/>
      <c r="O4" s="46"/>
      <c r="P4" s="46"/>
      <c r="Q4" s="46"/>
      <c r="R4" s="48"/>
      <c r="S4" s="48"/>
      <c r="T4" s="48"/>
      <c r="U4" s="46"/>
      <c r="V4" s="46"/>
      <c r="W4" s="46"/>
      <c r="X4" s="48"/>
      <c r="Y4" s="48"/>
      <c r="Z4" s="46"/>
    </row>
    <row r="5" spans="5:26" x14ac:dyDescent="0.25"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5:26" x14ac:dyDescent="0.25"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5:26" x14ac:dyDescent="0.25"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5:26" x14ac:dyDescent="0.25"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5:26" x14ac:dyDescent="0.25">
      <c r="L9" s="46"/>
      <c r="M9" s="46"/>
      <c r="N9" s="46"/>
      <c r="O9" s="46"/>
      <c r="P9" s="46"/>
      <c r="Q9" s="46"/>
      <c r="R9" s="46"/>
      <c r="S9" s="46"/>
      <c r="T9" s="46"/>
      <c r="U9" s="48"/>
      <c r="V9" s="48"/>
      <c r="W9" s="46"/>
      <c r="X9" s="46"/>
      <c r="Y9" s="46"/>
      <c r="Z9" s="46"/>
    </row>
    <row r="10" spans="5:26" x14ac:dyDescent="0.25"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5:26" x14ac:dyDescent="0.25"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5:26" x14ac:dyDescent="0.25"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29" ht="17.25" customHeight="1" x14ac:dyDescent="0.25"/>
  </sheetData>
  <mergeCells count="2">
    <mergeCell ref="L2:L3"/>
    <mergeCell ref="S2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workbookViewId="0">
      <selection activeCell="G14" sqref="G14"/>
    </sheetView>
  </sheetViews>
  <sheetFormatPr defaultRowHeight="15" x14ac:dyDescent="0.25"/>
  <cols>
    <col min="1" max="1" width="9.140625" customWidth="1"/>
    <col min="2" max="2" width="8" bestFit="1" customWidth="1"/>
    <col min="3" max="3" width="11.5703125" bestFit="1" customWidth="1"/>
    <col min="4" max="4" width="5" bestFit="1" customWidth="1"/>
    <col min="5" max="5" width="2.42578125" bestFit="1" customWidth="1"/>
    <col min="8" max="8" width="8" bestFit="1" customWidth="1"/>
    <col min="9" max="9" width="11.5703125" bestFit="1" customWidth="1"/>
    <col min="10" max="10" width="5" bestFit="1" customWidth="1"/>
    <col min="11" max="11" width="2.42578125" bestFit="1" customWidth="1"/>
  </cols>
  <sheetData>
    <row r="1" spans="2:16" ht="15.75" thickBot="1" x14ac:dyDescent="0.3">
      <c r="B1" s="55" t="s">
        <v>55</v>
      </c>
      <c r="C1" s="55"/>
      <c r="D1" s="55"/>
      <c r="E1" s="55"/>
    </row>
    <row r="2" spans="2:16" x14ac:dyDescent="0.25">
      <c r="B2" s="6" t="s">
        <v>40</v>
      </c>
      <c r="C2" s="27">
        <v>51.5</v>
      </c>
      <c r="D2" s="28" t="s">
        <v>44</v>
      </c>
      <c r="E2" s="36" t="s">
        <v>47</v>
      </c>
      <c r="H2" s="6" t="s">
        <v>40</v>
      </c>
      <c r="I2" s="27">
        <v>51.5</v>
      </c>
      <c r="J2" s="28" t="s">
        <v>44</v>
      </c>
      <c r="K2" s="36" t="s">
        <v>47</v>
      </c>
      <c r="O2">
        <v>43</v>
      </c>
      <c r="P2">
        <v>19</v>
      </c>
    </row>
    <row r="3" spans="2:16" x14ac:dyDescent="0.25">
      <c r="B3" s="9" t="s">
        <v>41</v>
      </c>
      <c r="C3" s="24">
        <v>100</v>
      </c>
      <c r="D3" s="29" t="s">
        <v>44</v>
      </c>
      <c r="E3" s="37"/>
      <c r="H3" s="9" t="s">
        <v>41</v>
      </c>
      <c r="I3" s="24">
        <v>100</v>
      </c>
      <c r="J3" s="29" t="s">
        <v>44</v>
      </c>
      <c r="K3" s="37"/>
      <c r="O3">
        <v>40</v>
      </c>
      <c r="P3">
        <v>24</v>
      </c>
    </row>
    <row r="4" spans="2:16" x14ac:dyDescent="0.25">
      <c r="B4" s="9" t="s">
        <v>42</v>
      </c>
      <c r="C4" s="24">
        <v>30</v>
      </c>
      <c r="D4" s="29" t="s">
        <v>44</v>
      </c>
      <c r="E4" s="37"/>
      <c r="H4" s="9" t="s">
        <v>42</v>
      </c>
      <c r="I4" s="24">
        <v>30</v>
      </c>
      <c r="J4" s="29" t="s">
        <v>44</v>
      </c>
      <c r="K4" s="37"/>
      <c r="O4">
        <v>33</v>
      </c>
      <c r="P4">
        <v>13</v>
      </c>
    </row>
    <row r="5" spans="2:16" x14ac:dyDescent="0.25">
      <c r="B5" s="9" t="s">
        <v>53</v>
      </c>
      <c r="C5" s="24">
        <f>D16</f>
        <v>8</v>
      </c>
      <c r="D5" s="29"/>
      <c r="E5" s="25" t="s">
        <v>45</v>
      </c>
      <c r="H5" s="9" t="s">
        <v>53</v>
      </c>
      <c r="I5" s="24">
        <f>J16</f>
        <v>8</v>
      </c>
      <c r="J5" s="29"/>
      <c r="K5" s="25" t="s">
        <v>45</v>
      </c>
      <c r="O5">
        <v>36</v>
      </c>
      <c r="P5">
        <v>21</v>
      </c>
    </row>
    <row r="6" spans="2:16" ht="15.75" thickBot="1" x14ac:dyDescent="0.3">
      <c r="B6" s="30" t="s">
        <v>54</v>
      </c>
      <c r="C6" s="32">
        <f>C2*C3*C4*C5/60</f>
        <v>20600</v>
      </c>
      <c r="D6" s="31" t="s">
        <v>43</v>
      </c>
      <c r="E6" s="26" t="s">
        <v>46</v>
      </c>
      <c r="H6" s="30" t="s">
        <v>54</v>
      </c>
      <c r="I6" s="32">
        <f>I2*I3*I4*I5/60</f>
        <v>20600</v>
      </c>
      <c r="J6" s="31" t="s">
        <v>43</v>
      </c>
      <c r="K6" s="26" t="s">
        <v>46</v>
      </c>
      <c r="O6">
        <v>35</v>
      </c>
      <c r="P6">
        <v>11</v>
      </c>
    </row>
    <row r="7" spans="2:16" ht="15.75" thickBot="1" x14ac:dyDescent="0.3">
      <c r="C7" s="34"/>
      <c r="E7" s="35"/>
      <c r="I7" s="34"/>
      <c r="K7" s="35"/>
      <c r="O7">
        <v>41</v>
      </c>
      <c r="P7">
        <v>12</v>
      </c>
    </row>
    <row r="8" spans="2:16" x14ac:dyDescent="0.25">
      <c r="B8" s="6" t="s">
        <v>40</v>
      </c>
      <c r="C8" s="27">
        <v>253.5</v>
      </c>
      <c r="D8" s="28" t="s">
        <v>44</v>
      </c>
      <c r="E8" s="36" t="s">
        <v>47</v>
      </c>
      <c r="H8" s="6" t="s">
        <v>40</v>
      </c>
      <c r="I8" s="27">
        <v>300</v>
      </c>
      <c r="J8" s="28" t="s">
        <v>44</v>
      </c>
      <c r="K8" s="36" t="s">
        <v>47</v>
      </c>
      <c r="O8">
        <f>AVERAGE(O2:O7)</f>
        <v>38</v>
      </c>
      <c r="P8">
        <f>AVERAGE(P2:P7)</f>
        <v>16.666666666666668</v>
      </c>
    </row>
    <row r="9" spans="2:16" x14ac:dyDescent="0.25">
      <c r="B9" s="9" t="s">
        <v>41</v>
      </c>
      <c r="C9" s="24">
        <v>290.3</v>
      </c>
      <c r="D9" s="29" t="s">
        <v>44</v>
      </c>
      <c r="E9" s="37"/>
      <c r="H9" s="9" t="s">
        <v>41</v>
      </c>
      <c r="I9" s="24">
        <v>290.3</v>
      </c>
      <c r="J9" s="29" t="s">
        <v>44</v>
      </c>
      <c r="K9" s="37"/>
    </row>
    <row r="10" spans="2:16" x14ac:dyDescent="0.25">
      <c r="B10" s="9" t="s">
        <v>42</v>
      </c>
      <c r="C10" s="24">
        <v>30</v>
      </c>
      <c r="D10" s="29" t="s">
        <v>44</v>
      </c>
      <c r="E10" s="37"/>
      <c r="H10" s="9" t="s">
        <v>42</v>
      </c>
      <c r="I10" s="24">
        <v>30</v>
      </c>
      <c r="J10" s="29" t="s">
        <v>44</v>
      </c>
      <c r="K10" s="37"/>
    </row>
    <row r="11" spans="2:16" x14ac:dyDescent="0.25">
      <c r="B11" s="9" t="s">
        <v>53</v>
      </c>
      <c r="C11" s="24">
        <f>D16</f>
        <v>8</v>
      </c>
      <c r="D11" s="29"/>
      <c r="E11" s="25" t="s">
        <v>45</v>
      </c>
      <c r="H11" s="9" t="s">
        <v>53</v>
      </c>
      <c r="I11" s="24">
        <f>J16</f>
        <v>8</v>
      </c>
      <c r="J11" s="29"/>
      <c r="K11" s="25" t="s">
        <v>45</v>
      </c>
    </row>
    <row r="12" spans="2:16" ht="15.75" thickBot="1" x14ac:dyDescent="0.3">
      <c r="B12" s="30" t="s">
        <v>54</v>
      </c>
      <c r="C12" s="32">
        <f>C8*C9*C10*C11/60</f>
        <v>294364.2</v>
      </c>
      <c r="D12" s="31" t="s">
        <v>43</v>
      </c>
      <c r="E12" s="26" t="s">
        <v>46</v>
      </c>
      <c r="H12" s="30" t="s">
        <v>54</v>
      </c>
      <c r="I12" s="32">
        <f>I8*I9*I10*I11/60</f>
        <v>348360</v>
      </c>
      <c r="J12" s="31" t="s">
        <v>43</v>
      </c>
      <c r="K12" s="26" t="s">
        <v>46</v>
      </c>
    </row>
    <row r="14" spans="2:16" ht="15.75" thickBot="1" x14ac:dyDescent="0.3"/>
    <row r="15" spans="2:16" ht="15.75" thickBot="1" x14ac:dyDescent="0.3">
      <c r="C15" s="40" t="s">
        <v>43</v>
      </c>
      <c r="D15" s="41" t="s">
        <v>53</v>
      </c>
      <c r="I15" s="40" t="s">
        <v>43</v>
      </c>
      <c r="J15" s="41" t="s">
        <v>53</v>
      </c>
    </row>
    <row r="16" spans="2:16" ht="15.75" thickBot="1" x14ac:dyDescent="0.3">
      <c r="C16" s="38">
        <f>C12-C6</f>
        <v>273764.2</v>
      </c>
      <c r="D16" s="39">
        <v>8</v>
      </c>
      <c r="I16" s="38">
        <f>I12-I6</f>
        <v>327760</v>
      </c>
      <c r="J16" s="39">
        <v>8</v>
      </c>
    </row>
  </sheetData>
  <mergeCells count="1">
    <mergeCell ref="B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4" sqref="B14"/>
    </sheetView>
  </sheetViews>
  <sheetFormatPr defaultRowHeight="15" x14ac:dyDescent="0.25"/>
  <cols>
    <col min="1" max="1" width="19.140625" bestFit="1" customWidth="1"/>
    <col min="2" max="2" width="79.5703125" bestFit="1" customWidth="1"/>
  </cols>
  <sheetData>
    <row r="1" spans="1:2" x14ac:dyDescent="0.25">
      <c r="A1" s="52" t="s">
        <v>62</v>
      </c>
      <c r="B1" s="52" t="s">
        <v>63</v>
      </c>
    </row>
    <row r="2" spans="1:2" x14ac:dyDescent="0.25">
      <c r="A2" t="s">
        <v>64</v>
      </c>
      <c r="B2" t="s">
        <v>66</v>
      </c>
    </row>
    <row r="3" spans="1:2" x14ac:dyDescent="0.25">
      <c r="A3" t="s">
        <v>65</v>
      </c>
      <c r="B3" t="s">
        <v>67</v>
      </c>
    </row>
    <row r="4" spans="1:2" x14ac:dyDescent="0.25">
      <c r="A4" t="s">
        <v>68</v>
      </c>
      <c r="B4" t="s">
        <v>69</v>
      </c>
    </row>
    <row r="5" spans="1:2" x14ac:dyDescent="0.25">
      <c r="A5" t="s">
        <v>70</v>
      </c>
      <c r="B5" t="s">
        <v>71</v>
      </c>
    </row>
    <row r="6" spans="1:2" x14ac:dyDescent="0.25">
      <c r="A6" t="s">
        <v>72</v>
      </c>
      <c r="B6" t="s">
        <v>74</v>
      </c>
    </row>
    <row r="7" spans="1:2" x14ac:dyDescent="0.25">
      <c r="A7" t="s">
        <v>73</v>
      </c>
      <c r="B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layout</vt:lpstr>
      <vt:lpstr>K&amp;B branch size</vt:lpstr>
      <vt:lpstr>Air Change Calculator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2013-02-27T16:25:18Z</cp:lastPrinted>
  <dcterms:created xsi:type="dcterms:W3CDTF">2012-10-15T18:14:18Z</dcterms:created>
  <dcterms:modified xsi:type="dcterms:W3CDTF">2013-06-18T17:18:22Z</dcterms:modified>
</cp:coreProperties>
</file>