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5" yWindow="1185" windowWidth="20730" windowHeight="11760"/>
  </bookViews>
  <sheets>
    <sheet name="layout" sheetId="1" r:id="rId1"/>
    <sheet name="K&amp;B branch size" sheetId="2" r:id="rId2"/>
    <sheet name="Air Change Calculator" sheetId="3" r:id="rId3"/>
    <sheet name="Sheet1" sheetId="4" r:id="rId4"/>
    <sheet name="Sheet3" sheetId="6" r:id="rId5"/>
  </sheets>
  <definedNames>
    <definedName name="solver_adj" localSheetId="0" hidden="1">layout!$C$2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layout!$E$8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2800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Z13" i="1" l="1"/>
  <c r="N5" i="2"/>
  <c r="N4" i="2"/>
  <c r="M5" i="2"/>
  <c r="M4" i="2"/>
  <c r="M3" i="2"/>
  <c r="X4" i="4" l="1"/>
  <c r="Q6" i="4"/>
  <c r="T6" i="4" s="1"/>
  <c r="U6" i="4" s="1"/>
  <c r="Q2" i="4"/>
  <c r="R6" i="4" l="1"/>
  <c r="S6" i="4" s="1"/>
  <c r="W6" i="4"/>
  <c r="I10" i="2"/>
  <c r="H10" i="2"/>
  <c r="G10" i="2"/>
  <c r="D2" i="1" l="1"/>
  <c r="E4" i="1" l="1"/>
  <c r="C19" i="6" l="1"/>
  <c r="B18" i="6"/>
  <c r="G19" i="6"/>
  <c r="B19" i="6"/>
  <c r="C3" i="6" l="1"/>
  <c r="F3" i="6" s="1"/>
  <c r="G3" i="6" s="1"/>
  <c r="C12" i="6"/>
  <c r="C10" i="6"/>
  <c r="C8" i="6"/>
  <c r="C6" i="6"/>
  <c r="C4" i="6"/>
  <c r="C2" i="6"/>
  <c r="C11" i="6"/>
  <c r="J11" i="6" s="1"/>
  <c r="P11" i="6" s="1"/>
  <c r="C9" i="6"/>
  <c r="C7" i="6"/>
  <c r="C5" i="6"/>
  <c r="I3" i="6" l="1"/>
  <c r="D3" i="6"/>
  <c r="E3" i="6" s="1"/>
  <c r="D5" i="6"/>
  <c r="E5" i="6" s="1"/>
  <c r="I5" i="6"/>
  <c r="F5" i="6"/>
  <c r="G5" i="6" s="1"/>
  <c r="F2" i="6"/>
  <c r="G2" i="6" s="1"/>
  <c r="J2" i="6"/>
  <c r="D2" i="6"/>
  <c r="E2" i="6" s="1"/>
  <c r="I2" i="6"/>
  <c r="F10" i="6"/>
  <c r="G10" i="6" s="1"/>
  <c r="D10" i="6"/>
  <c r="E10" i="6" s="1"/>
  <c r="I10" i="6"/>
  <c r="J10" i="6"/>
  <c r="P10" i="6" s="1"/>
  <c r="D7" i="6"/>
  <c r="E7" i="6" s="1"/>
  <c r="I7" i="6"/>
  <c r="F7" i="6"/>
  <c r="G7" i="6" s="1"/>
  <c r="F4" i="6"/>
  <c r="G4" i="6" s="1"/>
  <c r="D4" i="6"/>
  <c r="E4" i="6" s="1"/>
  <c r="I4" i="6"/>
  <c r="F12" i="6"/>
  <c r="G12" i="6" s="1"/>
  <c r="J12" i="6"/>
  <c r="P12" i="6" s="1"/>
  <c r="D12" i="6"/>
  <c r="E12" i="6" s="1"/>
  <c r="I12" i="6"/>
  <c r="D9" i="6"/>
  <c r="E9" i="6" s="1"/>
  <c r="I9" i="6"/>
  <c r="F9" i="6"/>
  <c r="G9" i="6" s="1"/>
  <c r="F6" i="6"/>
  <c r="G6" i="6" s="1"/>
  <c r="D6" i="6"/>
  <c r="E6" i="6" s="1"/>
  <c r="I6" i="6"/>
  <c r="D11" i="6"/>
  <c r="E11" i="6" s="1"/>
  <c r="I11" i="6"/>
  <c r="F11" i="6"/>
  <c r="G11" i="6" s="1"/>
  <c r="F8" i="6"/>
  <c r="G8" i="6" s="1"/>
  <c r="D8" i="6"/>
  <c r="E8" i="6" s="1"/>
  <c r="I8" i="6"/>
  <c r="M11" i="6"/>
  <c r="N11" i="6" s="1"/>
  <c r="K11" i="6"/>
  <c r="L11" i="6" s="1"/>
  <c r="J3" i="6"/>
  <c r="K3" i="6" s="1"/>
  <c r="L3" i="6" s="1"/>
  <c r="J6" i="6"/>
  <c r="M6" i="6" s="1"/>
  <c r="N6" i="6" s="1"/>
  <c r="J8" i="6"/>
  <c r="P8" i="6" s="1"/>
  <c r="J4" i="6"/>
  <c r="P4" i="6" s="1"/>
  <c r="J5" i="6"/>
  <c r="K5" i="6" s="1"/>
  <c r="L5" i="6" s="1"/>
  <c r="J9" i="6"/>
  <c r="M9" i="6" s="1"/>
  <c r="N9" i="6" s="1"/>
  <c r="J7" i="6"/>
  <c r="P3" i="6" l="1"/>
  <c r="M10" i="6"/>
  <c r="N10" i="6" s="1"/>
  <c r="K10" i="6"/>
  <c r="L10" i="6" s="1"/>
  <c r="Q2" i="6"/>
  <c r="T2" i="6" s="1"/>
  <c r="U2" i="6" s="1"/>
  <c r="M2" i="6"/>
  <c r="N2" i="6" s="1"/>
  <c r="K12" i="6"/>
  <c r="L12" i="6" s="1"/>
  <c r="M12" i="6"/>
  <c r="N12" i="6" s="1"/>
  <c r="M3" i="6"/>
  <c r="N3" i="6" s="1"/>
  <c r="K6" i="6"/>
  <c r="L6" i="6" s="1"/>
  <c r="P6" i="6"/>
  <c r="M4" i="6"/>
  <c r="N4" i="6" s="1"/>
  <c r="M8" i="6"/>
  <c r="N8" i="6" s="1"/>
  <c r="K8" i="6"/>
  <c r="L8" i="6" s="1"/>
  <c r="P5" i="6"/>
  <c r="K4" i="6"/>
  <c r="L4" i="6" s="1"/>
  <c r="K2" i="6"/>
  <c r="L2" i="6" s="1"/>
  <c r="M5" i="6"/>
  <c r="N5" i="6" s="1"/>
  <c r="P2" i="6"/>
  <c r="K9" i="6"/>
  <c r="L9" i="6" s="1"/>
  <c r="P9" i="6"/>
  <c r="P7" i="6"/>
  <c r="K7" i="6"/>
  <c r="L7" i="6" s="1"/>
  <c r="M7" i="6"/>
  <c r="N7" i="6" s="1"/>
  <c r="K1" i="1"/>
  <c r="R2" i="6" l="1"/>
  <c r="S2" i="6" s="1"/>
  <c r="X3" i="6"/>
  <c r="AE4" i="6" s="1"/>
  <c r="W2" i="6"/>
  <c r="R4" i="2"/>
  <c r="J5" i="2"/>
  <c r="J4" i="2"/>
  <c r="Y3" i="6" l="1"/>
  <c r="Z3" i="6" s="1"/>
  <c r="AD3" i="6"/>
  <c r="AA3" i="6"/>
  <c r="AB3" i="6" s="1"/>
  <c r="AF4" i="6"/>
  <c r="AG4" i="6" s="1"/>
  <c r="AH4" i="6"/>
  <c r="AI4" i="6" s="1"/>
  <c r="AK4" i="6"/>
  <c r="W38" i="1"/>
  <c r="H52" i="1" s="1"/>
  <c r="W37" i="1"/>
  <c r="C52" i="1" s="1"/>
  <c r="W36" i="1"/>
  <c r="R47" i="1" s="1"/>
  <c r="W35" i="1"/>
  <c r="M47" i="1" s="1"/>
  <c r="W34" i="1"/>
  <c r="H47" i="1" s="1"/>
  <c r="W33" i="1"/>
  <c r="C47" i="1" s="1"/>
  <c r="W32" i="1"/>
  <c r="R42" i="1" s="1"/>
  <c r="W31" i="1"/>
  <c r="M42" i="1" s="1"/>
  <c r="W30" i="1"/>
  <c r="H42" i="1" s="1"/>
  <c r="W29" i="1"/>
  <c r="C42" i="1" s="1"/>
  <c r="W28" i="1"/>
  <c r="R37" i="1" s="1"/>
  <c r="W27" i="1"/>
  <c r="M37" i="1" s="1"/>
  <c r="W26" i="1"/>
  <c r="H37" i="1" s="1"/>
  <c r="W25" i="1"/>
  <c r="C37" i="1" s="1"/>
  <c r="W24" i="1"/>
  <c r="I53" i="1"/>
  <c r="H53" i="1"/>
  <c r="D53" i="1"/>
  <c r="C53" i="1"/>
  <c r="S48" i="1"/>
  <c r="R48" i="1"/>
  <c r="N48" i="1"/>
  <c r="M48" i="1"/>
  <c r="I48" i="1"/>
  <c r="H48" i="1"/>
  <c r="D48" i="1"/>
  <c r="C48" i="1"/>
  <c r="S43" i="1"/>
  <c r="R43" i="1"/>
  <c r="N43" i="1"/>
  <c r="M43" i="1"/>
  <c r="I43" i="1"/>
  <c r="H43" i="1"/>
  <c r="D43" i="1"/>
  <c r="C43" i="1"/>
  <c r="S38" i="1"/>
  <c r="R38" i="1"/>
  <c r="N38" i="1"/>
  <c r="M38" i="1"/>
  <c r="I38" i="1"/>
  <c r="H38" i="1"/>
  <c r="D38" i="1"/>
  <c r="C38" i="1"/>
  <c r="AL5" i="6" l="1"/>
  <c r="AO5" i="6" s="1"/>
  <c r="AP5" i="6" s="1"/>
  <c r="H49" i="1"/>
  <c r="H50" i="1" s="1"/>
  <c r="N49" i="1"/>
  <c r="N50" i="1" s="1"/>
  <c r="H44" i="1"/>
  <c r="H45" i="1" s="1"/>
  <c r="M49" i="1"/>
  <c r="M50" i="1" s="1"/>
  <c r="I54" i="1"/>
  <c r="I55" i="1" s="1"/>
  <c r="S39" i="1"/>
  <c r="S40" i="1" s="1"/>
  <c r="I44" i="1"/>
  <c r="I45" i="1" s="1"/>
  <c r="S44" i="1"/>
  <c r="S45" i="1" s="1"/>
  <c r="I49" i="1"/>
  <c r="I50" i="1" s="1"/>
  <c r="R49" i="1"/>
  <c r="R50" i="1" s="1"/>
  <c r="N39" i="1"/>
  <c r="N40" i="1" s="1"/>
  <c r="N44" i="1"/>
  <c r="N45" i="1" s="1"/>
  <c r="D44" i="1"/>
  <c r="D45" i="1" s="1"/>
  <c r="H54" i="1"/>
  <c r="H55" i="1" s="1"/>
  <c r="H39" i="1"/>
  <c r="H40" i="1" s="1"/>
  <c r="D39" i="1"/>
  <c r="D40" i="1" s="1"/>
  <c r="I39" i="1"/>
  <c r="I40" i="1" s="1"/>
  <c r="C49" i="1"/>
  <c r="C50" i="1" s="1"/>
  <c r="C54" i="1"/>
  <c r="C55" i="1" s="1"/>
  <c r="D49" i="1"/>
  <c r="D50" i="1" s="1"/>
  <c r="D54" i="1"/>
  <c r="D55" i="1" s="1"/>
  <c r="S49" i="1"/>
  <c r="S50" i="1" s="1"/>
  <c r="C39" i="1"/>
  <c r="C40" i="1" s="1"/>
  <c r="C44" i="1"/>
  <c r="C45" i="1" s="1"/>
  <c r="R39" i="1"/>
  <c r="R40" i="1" s="1"/>
  <c r="R44" i="1"/>
  <c r="R45" i="1" s="1"/>
  <c r="M39" i="1"/>
  <c r="M40" i="1" s="1"/>
  <c r="O40" i="1" s="1"/>
  <c r="O39" i="1" s="1"/>
  <c r="O38" i="1" s="1"/>
  <c r="M44" i="1"/>
  <c r="M45" i="1" s="1"/>
  <c r="M3" i="1"/>
  <c r="T40" i="1" l="1"/>
  <c r="T39" i="1" s="1"/>
  <c r="T38" i="1" s="1"/>
  <c r="O50" i="1"/>
  <c r="O49" i="1" s="1"/>
  <c r="O48" i="1" s="1"/>
  <c r="E45" i="1"/>
  <c r="E44" i="1" s="1"/>
  <c r="E43" i="1" s="1"/>
  <c r="E40" i="1"/>
  <c r="E39" i="1" s="1"/>
  <c r="E38" i="1" s="1"/>
  <c r="T45" i="1"/>
  <c r="T44" i="1" s="1"/>
  <c r="T43" i="1" s="1"/>
  <c r="J55" i="1"/>
  <c r="J54" i="1" s="1"/>
  <c r="J53" i="1" s="1"/>
  <c r="T50" i="1"/>
  <c r="T49" i="1" s="1"/>
  <c r="T48" i="1" s="1"/>
  <c r="E55" i="1"/>
  <c r="E54" i="1" s="1"/>
  <c r="E53" i="1" s="1"/>
  <c r="O45" i="1"/>
  <c r="O44" i="1" s="1"/>
  <c r="O43" i="1" s="1"/>
  <c r="E50" i="1"/>
  <c r="E49" i="1" s="1"/>
  <c r="E48" i="1" s="1"/>
  <c r="J40" i="1"/>
  <c r="J39" i="1" s="1"/>
  <c r="J38" i="1" s="1"/>
  <c r="J50" i="1"/>
  <c r="J49" i="1" s="1"/>
  <c r="J48" i="1" s="1"/>
  <c r="J45" i="1"/>
  <c r="J44" i="1" s="1"/>
  <c r="J43" i="1" s="1"/>
  <c r="AS6" i="6"/>
  <c r="AT6" i="6" s="1"/>
  <c r="AU6" i="6" s="1"/>
  <c r="AM5" i="6"/>
  <c r="AN5" i="6" s="1"/>
  <c r="AR5" i="6"/>
  <c r="G11" i="4"/>
  <c r="C4" i="4"/>
  <c r="AD3" i="1"/>
  <c r="C9" i="4" l="1"/>
  <c r="I9" i="4" s="1"/>
  <c r="C3" i="4"/>
  <c r="I3" i="4" s="1"/>
  <c r="C6" i="4"/>
  <c r="F6" i="4" s="1"/>
  <c r="G6" i="4" s="1"/>
  <c r="C2" i="4"/>
  <c r="D2" i="4" s="1"/>
  <c r="E2" i="4" s="1"/>
  <c r="C5" i="4"/>
  <c r="I5" i="4" s="1"/>
  <c r="AY6" i="6"/>
  <c r="AZ7" i="6"/>
  <c r="BG8" i="6" s="1"/>
  <c r="BN9" i="6" s="1"/>
  <c r="BU10" i="6" s="1"/>
  <c r="AV6" i="6"/>
  <c r="AW6" i="6" s="1"/>
  <c r="I4" i="4"/>
  <c r="F4" i="4"/>
  <c r="G4" i="4" s="1"/>
  <c r="D4" i="4"/>
  <c r="E4" i="4" s="1"/>
  <c r="I6" i="4"/>
  <c r="F5" i="4"/>
  <c r="G5" i="4" s="1"/>
  <c r="C8" i="4"/>
  <c r="C7" i="4"/>
  <c r="D5" i="4" l="1"/>
  <c r="E5" i="4" s="1"/>
  <c r="J8" i="4"/>
  <c r="M8" i="4" s="1"/>
  <c r="N8" i="4" s="1"/>
  <c r="D3" i="4"/>
  <c r="E3" i="4" s="1"/>
  <c r="F2" i="4"/>
  <c r="G2" i="4" s="1"/>
  <c r="D9" i="4"/>
  <c r="E9" i="4" s="1"/>
  <c r="F9" i="4"/>
  <c r="G9" i="4" s="1"/>
  <c r="J4" i="4"/>
  <c r="M4" i="4" s="1"/>
  <c r="N4" i="4" s="1"/>
  <c r="D6" i="4"/>
  <c r="E6" i="4" s="1"/>
  <c r="J6" i="4"/>
  <c r="F3" i="4"/>
  <c r="G3" i="4" s="1"/>
  <c r="I2" i="4"/>
  <c r="J2" i="4"/>
  <c r="BA7" i="6"/>
  <c r="BB7" i="6" s="1"/>
  <c r="CB11" i="6"/>
  <c r="BX10" i="6"/>
  <c r="BY10" i="6" s="1"/>
  <c r="CA10" i="6"/>
  <c r="BV10" i="6"/>
  <c r="BW10" i="6" s="1"/>
  <c r="BC7" i="6"/>
  <c r="BD7" i="6" s="1"/>
  <c r="BF7" i="6"/>
  <c r="BJ8" i="6"/>
  <c r="BK8" i="6" s="1"/>
  <c r="BM8" i="6"/>
  <c r="BH8" i="6"/>
  <c r="BI8" i="6" s="1"/>
  <c r="I8" i="4"/>
  <c r="F8" i="4"/>
  <c r="G8" i="4" s="1"/>
  <c r="D8" i="4"/>
  <c r="E8" i="4" s="1"/>
  <c r="I7" i="4"/>
  <c r="F7" i="4"/>
  <c r="G7" i="4" s="1"/>
  <c r="D7" i="4"/>
  <c r="E7" i="4" s="1"/>
  <c r="P8" i="4" l="1"/>
  <c r="K8" i="4"/>
  <c r="L8" i="4" s="1"/>
  <c r="P4" i="4"/>
  <c r="K4" i="4"/>
  <c r="L4" i="4" s="1"/>
  <c r="P6" i="4"/>
  <c r="K6" i="4"/>
  <c r="L6" i="4" s="1"/>
  <c r="M6" i="4"/>
  <c r="N6" i="4" s="1"/>
  <c r="P2" i="4"/>
  <c r="M2" i="4"/>
  <c r="N2" i="4" s="1"/>
  <c r="K2" i="4"/>
  <c r="L2" i="4" s="1"/>
  <c r="CE11" i="6"/>
  <c r="CF11" i="6" s="1"/>
  <c r="CH11" i="6"/>
  <c r="CC11" i="6"/>
  <c r="CD11" i="6" s="1"/>
  <c r="BQ9" i="6"/>
  <c r="BR9" i="6" s="1"/>
  <c r="BO9" i="6"/>
  <c r="BP9" i="6" s="1"/>
  <c r="BT9" i="6"/>
  <c r="C6" i="3"/>
  <c r="T2" i="4" l="1"/>
  <c r="U2" i="4" s="1"/>
  <c r="W2" i="4"/>
  <c r="R2" i="4"/>
  <c r="S2" i="4" s="1"/>
  <c r="R2" i="1"/>
  <c r="AA4" i="4" l="1"/>
  <c r="AB4" i="4" s="1"/>
  <c r="AE6" i="4"/>
  <c r="Y4" i="4"/>
  <c r="Z4" i="4" s="1"/>
  <c r="AD4" i="4"/>
  <c r="G4" i="1"/>
  <c r="AK6" i="4" l="1"/>
  <c r="AF6" i="4"/>
  <c r="AG6" i="4" s="1"/>
  <c r="AH6" i="4"/>
  <c r="AI6" i="4" s="1"/>
  <c r="R32" i="1"/>
  <c r="W23" i="1"/>
  <c r="M32" i="1" s="1"/>
  <c r="W22" i="1"/>
  <c r="H32" i="1" s="1"/>
  <c r="W21" i="1"/>
  <c r="C32" i="1" s="1"/>
  <c r="W19" i="1"/>
  <c r="W20" i="1"/>
  <c r="S33" i="1"/>
  <c r="R33" i="1"/>
  <c r="N33" i="1"/>
  <c r="M33" i="1"/>
  <c r="I33" i="1"/>
  <c r="H33" i="1"/>
  <c r="D33" i="1"/>
  <c r="C33" i="1"/>
  <c r="N34" i="1" l="1"/>
  <c r="N35" i="1" s="1"/>
  <c r="H34" i="1"/>
  <c r="H35" i="1" s="1"/>
  <c r="D34" i="1"/>
  <c r="D35" i="1" s="1"/>
  <c r="R34" i="1"/>
  <c r="R35" i="1" s="1"/>
  <c r="I34" i="1"/>
  <c r="I35" i="1" s="1"/>
  <c r="M34" i="1"/>
  <c r="M35" i="1" s="1"/>
  <c r="S34" i="1"/>
  <c r="S35" i="1" s="1"/>
  <c r="C34" i="1"/>
  <c r="C35" i="1" s="1"/>
  <c r="H3" i="1"/>
  <c r="O35" i="1" l="1"/>
  <c r="O34" i="1" s="1"/>
  <c r="O33" i="1" s="1"/>
  <c r="E35" i="1"/>
  <c r="E34" i="1" s="1"/>
  <c r="E33" i="1" s="1"/>
  <c r="J35" i="1"/>
  <c r="J34" i="1" s="1"/>
  <c r="J33" i="1" s="1"/>
  <c r="T35" i="1"/>
  <c r="T34" i="1" s="1"/>
  <c r="T33" i="1" s="1"/>
  <c r="S28" i="1"/>
  <c r="R28" i="1"/>
  <c r="N28" i="1"/>
  <c r="M28" i="1"/>
  <c r="R27" i="1"/>
  <c r="M27" i="1"/>
  <c r="W18" i="1"/>
  <c r="M29" i="1" l="1"/>
  <c r="M30" i="1" s="1"/>
  <c r="N29" i="1"/>
  <c r="N30" i="1" s="1"/>
  <c r="R29" i="1"/>
  <c r="R30" i="1" s="1"/>
  <c r="S29" i="1"/>
  <c r="S30" i="1" s="1"/>
  <c r="I3" i="2"/>
  <c r="H3" i="2"/>
  <c r="T30" i="1" l="1"/>
  <c r="T29" i="1" s="1"/>
  <c r="T28" i="1" s="1"/>
  <c r="O30" i="1"/>
  <c r="O29" i="1" s="1"/>
  <c r="O28" i="1" s="1"/>
  <c r="I28" i="1"/>
  <c r="H28" i="1"/>
  <c r="D28" i="1"/>
  <c r="C28" i="1"/>
  <c r="D23" i="1"/>
  <c r="C23" i="1"/>
  <c r="I23" i="1"/>
  <c r="H23" i="1"/>
  <c r="I18" i="1"/>
  <c r="H18" i="1"/>
  <c r="D18" i="1"/>
  <c r="C18" i="1"/>
  <c r="D13" i="1"/>
  <c r="C13" i="1"/>
  <c r="I13" i="1"/>
  <c r="H13" i="1"/>
  <c r="N13" i="1"/>
  <c r="M13" i="1"/>
  <c r="N18" i="1"/>
  <c r="M18" i="1"/>
  <c r="N23" i="1"/>
  <c r="M23" i="1"/>
  <c r="S23" i="1"/>
  <c r="R23" i="1"/>
  <c r="S18" i="1"/>
  <c r="R18" i="1"/>
  <c r="S13" i="1"/>
  <c r="R13" i="1"/>
  <c r="S8" i="1"/>
  <c r="R8" i="1"/>
  <c r="N8" i="1"/>
  <c r="M8" i="1"/>
  <c r="I8" i="1"/>
  <c r="H8" i="1"/>
  <c r="D8" i="1"/>
  <c r="C8" i="1"/>
  <c r="H27" i="1"/>
  <c r="W17" i="1"/>
  <c r="C27" i="1" s="1"/>
  <c r="W16" i="1"/>
  <c r="R22" i="1" s="1"/>
  <c r="W15" i="1"/>
  <c r="W14" i="1"/>
  <c r="H22" i="1" s="1"/>
  <c r="W13" i="1"/>
  <c r="C22" i="1" s="1"/>
  <c r="W12" i="1"/>
  <c r="R17" i="1" s="1"/>
  <c r="W11" i="1"/>
  <c r="M17" i="1" s="1"/>
  <c r="W10" i="1"/>
  <c r="H17" i="1" s="1"/>
  <c r="W9" i="1"/>
  <c r="C17" i="1" s="1"/>
  <c r="W8" i="1"/>
  <c r="R12" i="1" s="1"/>
  <c r="W7" i="1"/>
  <c r="M12" i="1" s="1"/>
  <c r="W6" i="1"/>
  <c r="H12" i="1" s="1"/>
  <c r="W5" i="1"/>
  <c r="C12" i="1" s="1"/>
  <c r="W4" i="1"/>
  <c r="R7" i="1" s="1"/>
  <c r="W3" i="1"/>
  <c r="M7" i="1" s="1"/>
  <c r="W2" i="1"/>
  <c r="H7" i="1" s="1"/>
  <c r="W1" i="1"/>
  <c r="C7" i="1" s="1"/>
  <c r="H24" i="1" l="1"/>
  <c r="H25" i="1" s="1"/>
  <c r="M22" i="1"/>
  <c r="M24" i="1" s="1"/>
  <c r="M25" i="1" s="1"/>
  <c r="I29" i="1"/>
  <c r="I30" i="1" s="1"/>
  <c r="H29" i="1"/>
  <c r="H30" i="1" s="1"/>
  <c r="D29" i="1"/>
  <c r="D30" i="1" s="1"/>
  <c r="C29" i="1"/>
  <c r="C30" i="1" s="1"/>
  <c r="S24" i="1"/>
  <c r="S25" i="1" s="1"/>
  <c r="R24" i="1"/>
  <c r="R25" i="1" s="1"/>
  <c r="C24" i="1"/>
  <c r="C25" i="1" s="1"/>
  <c r="D24" i="1"/>
  <c r="D25" i="1" s="1"/>
  <c r="S19" i="1"/>
  <c r="S20" i="1" s="1"/>
  <c r="R19" i="1"/>
  <c r="R20" i="1" s="1"/>
  <c r="I19" i="1"/>
  <c r="I20" i="1" s="1"/>
  <c r="H19" i="1"/>
  <c r="H20" i="1" s="1"/>
  <c r="M19" i="1"/>
  <c r="M20" i="1" s="1"/>
  <c r="S14" i="1"/>
  <c r="S15" i="1" s="1"/>
  <c r="R14" i="1"/>
  <c r="R15" i="1" s="1"/>
  <c r="M14" i="1"/>
  <c r="M15" i="1" s="1"/>
  <c r="C14" i="1"/>
  <c r="C15" i="1" s="1"/>
  <c r="N14" i="1"/>
  <c r="N15" i="1" s="1"/>
  <c r="D14" i="1"/>
  <c r="D15" i="1" s="1"/>
  <c r="S9" i="1"/>
  <c r="S10" i="1" s="1"/>
  <c r="R9" i="1"/>
  <c r="R10" i="1" s="1"/>
  <c r="E30" i="1" l="1"/>
  <c r="E29" i="1" s="1"/>
  <c r="E28" i="1" s="1"/>
  <c r="J30" i="1"/>
  <c r="J29" i="1" s="1"/>
  <c r="J28" i="1" s="1"/>
  <c r="T14" i="1"/>
  <c r="T13" i="1" s="1"/>
  <c r="T9" i="1"/>
  <c r="E14" i="1"/>
  <c r="E13" i="1" s="1"/>
  <c r="J20" i="1"/>
  <c r="J19" i="1" s="1"/>
  <c r="J18" i="1" s="1"/>
  <c r="T20" i="1"/>
  <c r="T19" i="1" s="1"/>
  <c r="T18" i="1" s="1"/>
  <c r="E25" i="1"/>
  <c r="E24" i="1" s="1"/>
  <c r="E23" i="1" s="1"/>
  <c r="T25" i="1"/>
  <c r="T24" i="1" s="1"/>
  <c r="T23" i="1" s="1"/>
  <c r="O14" i="1"/>
  <c r="O13" i="1" s="1"/>
  <c r="N24" i="1"/>
  <c r="N25" i="1" s="1"/>
  <c r="O25" i="1" s="1"/>
  <c r="O24" i="1" s="1"/>
  <c r="O23" i="1" s="1"/>
  <c r="I24" i="1"/>
  <c r="I25" i="1" s="1"/>
  <c r="J25" i="1" s="1"/>
  <c r="J24" i="1" s="1"/>
  <c r="J23" i="1" s="1"/>
  <c r="N19" i="1"/>
  <c r="N20" i="1" s="1"/>
  <c r="O20" i="1" s="1"/>
  <c r="O19" i="1" s="1"/>
  <c r="O18" i="1" s="1"/>
  <c r="H14" i="1"/>
  <c r="H15" i="1" s="1"/>
  <c r="I14" i="1"/>
  <c r="I15" i="1" s="1"/>
  <c r="T8" i="1"/>
  <c r="J14" i="1" l="1"/>
  <c r="J13" i="1" s="1"/>
  <c r="D19" i="1"/>
  <c r="D20" i="1" s="1"/>
  <c r="C19" i="1"/>
  <c r="C20" i="1" s="1"/>
  <c r="E20" i="1" l="1"/>
  <c r="E19" i="1" s="1"/>
  <c r="E18" i="1" s="1"/>
  <c r="C9" i="1"/>
  <c r="C10" i="1" s="1"/>
  <c r="D9" i="1"/>
  <c r="D10" i="1" s="1"/>
  <c r="E9" i="1" l="1"/>
  <c r="E8" i="1" s="1"/>
  <c r="I9" i="1"/>
  <c r="I10" i="1" s="1"/>
  <c r="H9" i="1"/>
  <c r="H10" i="1" s="1"/>
  <c r="J9" i="1" l="1"/>
  <c r="J8" i="1" s="1"/>
  <c r="N9" i="1"/>
  <c r="N10" i="1" s="1"/>
  <c r="M9" i="1"/>
  <c r="M10" i="1" s="1"/>
  <c r="O9" i="1" l="1"/>
  <c r="O8" i="1" s="1"/>
</calcChain>
</file>

<file path=xl/sharedStrings.xml><?xml version="1.0" encoding="utf-8"?>
<sst xmlns="http://schemas.openxmlformats.org/spreadsheetml/2006/main" count="155" uniqueCount="69">
  <si>
    <t>total cfm</t>
  </si>
  <si>
    <t>drops</t>
  </si>
  <si>
    <t>desired fpm</t>
  </si>
  <si>
    <t>drop 1</t>
  </si>
  <si>
    <t>drop 2</t>
  </si>
  <si>
    <t>drop 3</t>
  </si>
  <si>
    <t>drop 4</t>
  </si>
  <si>
    <t>drop 5</t>
  </si>
  <si>
    <t>drop 6</t>
  </si>
  <si>
    <t>drop 7</t>
  </si>
  <si>
    <t>drop 8</t>
  </si>
  <si>
    <t>drop 9</t>
  </si>
  <si>
    <t>drop 10</t>
  </si>
  <si>
    <t>drop 11</t>
  </si>
  <si>
    <t>drop 12</t>
  </si>
  <si>
    <t>drop 13</t>
  </si>
  <si>
    <t>drop 14</t>
  </si>
  <si>
    <t>drop 15</t>
  </si>
  <si>
    <t>drop 16</t>
  </si>
  <si>
    <t>drop 17</t>
  </si>
  <si>
    <t>drop 18</t>
  </si>
  <si>
    <t>desired FPM (max)</t>
  </si>
  <si>
    <t>desired FPM (min)</t>
  </si>
  <si>
    <t>A</t>
  </si>
  <si>
    <t>B</t>
  </si>
  <si>
    <t>C</t>
  </si>
  <si>
    <t>D</t>
  </si>
  <si>
    <t>E</t>
  </si>
  <si>
    <t>drop 19</t>
  </si>
  <si>
    <t>drop 20</t>
  </si>
  <si>
    <t>drop 21</t>
  </si>
  <si>
    <t>drop 22</t>
  </si>
  <si>
    <t>drop 23</t>
  </si>
  <si>
    <t>drop 24</t>
  </si>
  <si>
    <t xml:space="preserve"> </t>
  </si>
  <si>
    <t>scale</t>
  </si>
  <si>
    <t>inches_a</t>
  </si>
  <si>
    <t>inches_b</t>
  </si>
  <si>
    <t>measure_a</t>
  </si>
  <si>
    <t>measure_b</t>
  </si>
  <si>
    <t>Length</t>
  </si>
  <si>
    <t>Width</t>
  </si>
  <si>
    <t>Height</t>
  </si>
  <si>
    <t>Air change per hour</t>
  </si>
  <si>
    <t>CFM</t>
  </si>
  <si>
    <t>Volume Exchange:</t>
  </si>
  <si>
    <t>ft</t>
  </si>
  <si>
    <t>n</t>
  </si>
  <si>
    <t>Q</t>
  </si>
  <si>
    <t>V</t>
  </si>
  <si>
    <t>Guildemeister</t>
  </si>
  <si>
    <t>Total</t>
  </si>
  <si>
    <t>Availible</t>
  </si>
  <si>
    <t>drop 25</t>
  </si>
  <si>
    <t>drop 26</t>
  </si>
  <si>
    <t>drop 27</t>
  </si>
  <si>
    <t>drop 28</t>
  </si>
  <si>
    <t>drop 29</t>
  </si>
  <si>
    <t>drop 30</t>
  </si>
  <si>
    <t>drop 31</t>
  </si>
  <si>
    <t>drop 32</t>
  </si>
  <si>
    <t>drop 33</t>
  </si>
  <si>
    <t>drop 34</t>
  </si>
  <si>
    <t>drop 35</t>
  </si>
  <si>
    <t>drop 36</t>
  </si>
  <si>
    <t>drop 37</t>
  </si>
  <si>
    <t>drop 38</t>
  </si>
  <si>
    <t>Radius</t>
  </si>
  <si>
    <t>FPM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</si>
</sst>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000000000000000000"/>
    <numFmt numFmtId="167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" fontId="0" fillId="0" borderId="1" xfId="0" applyNumberFormat="1" applyBorder="1"/>
    <xf numFmtId="165" fontId="0" fillId="0" borderId="1" xfId="0" applyNumberFormat="1" applyBorder="1"/>
    <xf numFmtId="0" fontId="0" fillId="0" borderId="2" xfId="0" applyBorder="1"/>
    <xf numFmtId="1" fontId="0" fillId="0" borderId="3" xfId="0" applyNumberFormat="1" applyBorder="1"/>
    <xf numFmtId="1" fontId="0" fillId="0" borderId="4" xfId="0" applyNumberFormat="1" applyBorder="1"/>
    <xf numFmtId="0" fontId="0" fillId="0" borderId="5" xfId="0" applyBorder="1"/>
    <xf numFmtId="1" fontId="0" fillId="0" borderId="6" xfId="0" applyNumberFormat="1" applyBorder="1"/>
    <xf numFmtId="165" fontId="0" fillId="0" borderId="6" xfId="0" applyNumberFormat="1" applyBorder="1"/>
    <xf numFmtId="0" fontId="0" fillId="0" borderId="7" xfId="0" applyBorder="1"/>
    <xf numFmtId="165" fontId="0" fillId="0" borderId="8" xfId="0" applyNumberFormat="1" applyBorder="1"/>
    <xf numFmtId="2" fontId="0" fillId="2" borderId="9" xfId="0" applyNumberForma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0" xfId="0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/>
    <xf numFmtId="165" fontId="0" fillId="0" borderId="0" xfId="0" applyNumberFormat="1" applyFill="1" applyBorder="1"/>
    <xf numFmtId="2" fontId="0" fillId="0" borderId="0" xfId="0" applyNumberFormat="1" applyFill="1" applyBorder="1" applyAlignment="1">
      <alignment horizontal="right"/>
    </xf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7" fontId="0" fillId="0" borderId="0" xfId="0" applyNumberFormat="1"/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285486</xdr:colOff>
      <xdr:row>16</xdr:row>
      <xdr:rowOff>18664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14286" cy="30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152400</xdr:colOff>
      <xdr:row>1</xdr:row>
      <xdr:rowOff>95250</xdr:rowOff>
    </xdr:from>
    <xdr:ext cx="914400" cy="4238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3209925" y="295275"/>
              <a:ext cx="914400" cy="423834"/>
            </a:xfrm>
            <a:prstGeom prst="rect">
              <a:avLst/>
            </a:prstGeom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𝑛</m:t>
                    </m:r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60∗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𝑄</m:t>
                        </m:r>
                        <m:r>
                          <m:rPr>
                            <m:nor/>
                          </m:rPr>
                          <a:rPr lang="en-US">
                            <a:effectLst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𝑉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3209925" y="295275"/>
              <a:ext cx="914400" cy="423834"/>
            </a:xfrm>
            <a:prstGeom prst="rect">
              <a:avLst/>
            </a:prstGeom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𝑛=(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60∗𝑄"</a:t>
              </a:r>
              <a:r>
                <a:rPr lang="en-US" i="0">
                  <a:effectLst/>
                </a:rPr>
                <a:t> </a:t>
              </a:r>
              <a:r>
                <a:rPr lang="en-US" sz="1100" b="0" i="0">
                  <a:effectLst/>
                  <a:latin typeface="Cambria Math"/>
                </a:rPr>
                <a:t>" )/</a:t>
              </a:r>
              <a:r>
                <a:rPr lang="en-US" sz="1100" b="0" i="0">
                  <a:latin typeface="Cambria Math"/>
                </a:rPr>
                <a:t>𝑉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7"/>
  <sheetViews>
    <sheetView tabSelected="1" zoomScale="70" zoomScaleNormal="70" workbookViewId="0">
      <selection activeCell="AE18" sqref="AE18"/>
    </sheetView>
  </sheetViews>
  <sheetFormatPr defaultRowHeight="15" x14ac:dyDescent="0.25"/>
  <cols>
    <col min="1" max="1" width="6.5703125" bestFit="1" customWidth="1"/>
    <col min="2" max="2" width="17.85546875" bestFit="1" customWidth="1"/>
    <col min="3" max="4" width="8.28515625" bestFit="1" customWidth="1"/>
    <col min="5" max="5" width="7.28515625" bestFit="1" customWidth="1"/>
    <col min="6" max="6" width="10.7109375" bestFit="1" customWidth="1"/>
    <col min="7" max="7" width="11.7109375" bestFit="1" customWidth="1"/>
    <col min="8" max="8" width="12.5703125" bestFit="1" customWidth="1"/>
    <col min="9" max="9" width="10.85546875" bestFit="1" customWidth="1"/>
    <col min="10" max="10" width="7.28515625" bestFit="1" customWidth="1"/>
    <col min="11" max="11" width="6.5703125" bestFit="1" customWidth="1"/>
    <col min="12" max="12" width="11.7109375" bestFit="1" customWidth="1"/>
    <col min="13" max="14" width="8.28515625" bestFit="1" customWidth="1"/>
    <col min="15" max="15" width="7.28515625" bestFit="1" customWidth="1"/>
    <col min="16" max="16" width="4.140625" bestFit="1" customWidth="1"/>
    <col min="17" max="17" width="11.7109375" bestFit="1" customWidth="1"/>
    <col min="18" max="18" width="14.85546875" bestFit="1" customWidth="1"/>
    <col min="19" max="19" width="8.28515625" bestFit="1" customWidth="1"/>
    <col min="20" max="20" width="7.28515625" bestFit="1" customWidth="1"/>
    <col min="21" max="21" width="7.5703125" bestFit="1" customWidth="1"/>
    <col min="22" max="22" width="8" bestFit="1" customWidth="1"/>
    <col min="23" max="23" width="6.7109375" bestFit="1" customWidth="1"/>
    <col min="27" max="27" width="6.85546875" bestFit="1" customWidth="1"/>
    <col min="28" max="28" width="3.42578125" bestFit="1" customWidth="1"/>
    <col min="29" max="29" width="4.7109375" bestFit="1" customWidth="1"/>
    <col min="30" max="30" width="5" bestFit="1" customWidth="1"/>
    <col min="31" max="31" width="6.85546875" bestFit="1" customWidth="1"/>
  </cols>
  <sheetData>
    <row r="1" spans="2:30" x14ac:dyDescent="0.25">
      <c r="G1" s="44" t="s">
        <v>35</v>
      </c>
      <c r="H1" s="44"/>
      <c r="K1">
        <f>360/12</f>
        <v>30</v>
      </c>
      <c r="V1" t="s">
        <v>3</v>
      </c>
      <c r="W1">
        <f>C2/C3</f>
        <v>1500</v>
      </c>
      <c r="AD1">
        <v>3500</v>
      </c>
    </row>
    <row r="2" spans="2:30" x14ac:dyDescent="0.25">
      <c r="B2" t="s">
        <v>0</v>
      </c>
      <c r="C2" s="3">
        <v>24000</v>
      </c>
      <c r="D2" s="3">
        <f>2350/3</f>
        <v>783.33333333333337</v>
      </c>
      <c r="E2" s="3"/>
      <c r="F2" s="1" t="s">
        <v>38</v>
      </c>
      <c r="G2" s="1">
        <v>2</v>
      </c>
      <c r="H2" s="1">
        <v>0.75</v>
      </c>
      <c r="I2" s="1" t="s">
        <v>39</v>
      </c>
      <c r="J2" s="1"/>
      <c r="K2" s="1"/>
      <c r="L2" s="1"/>
      <c r="M2" s="1"/>
      <c r="N2" s="1"/>
      <c r="O2" s="1"/>
      <c r="P2" s="1"/>
      <c r="Q2" s="1">
        <v>1156</v>
      </c>
      <c r="R2">
        <f>(((R4^2)/4)*PI())</f>
        <v>1156.0001844207516</v>
      </c>
      <c r="V2" t="s">
        <v>4</v>
      </c>
      <c r="W2">
        <f>$C$2/$C$3*2</f>
        <v>3000</v>
      </c>
      <c r="AD2">
        <v>1500</v>
      </c>
    </row>
    <row r="3" spans="2:30" x14ac:dyDescent="0.25">
      <c r="B3" t="s">
        <v>1</v>
      </c>
      <c r="C3" s="3">
        <v>16</v>
      </c>
      <c r="D3" s="3"/>
      <c r="E3" s="3"/>
      <c r="F3" s="1" t="s">
        <v>36</v>
      </c>
      <c r="G3" s="1">
        <v>60</v>
      </c>
      <c r="H3" s="1">
        <f>G3*H2/G2</f>
        <v>22.5</v>
      </c>
      <c r="I3" s="1" t="s">
        <v>37</v>
      </c>
      <c r="J3" s="1"/>
      <c r="K3" s="1"/>
      <c r="L3" s="1">
        <v>300</v>
      </c>
      <c r="M3" s="1">
        <f>L3*0.04</f>
        <v>12</v>
      </c>
      <c r="N3" s="1"/>
      <c r="O3" s="1"/>
      <c r="P3" s="1"/>
      <c r="Q3" s="1"/>
      <c r="T3">
        <v>30</v>
      </c>
      <c r="V3" t="s">
        <v>5</v>
      </c>
      <c r="W3">
        <f>$C$2/$C$3*3</f>
        <v>4500</v>
      </c>
      <c r="AD3">
        <f>AD2+AD1</f>
        <v>5000</v>
      </c>
    </row>
    <row r="4" spans="2:30" x14ac:dyDescent="0.25">
      <c r="B4" t="s">
        <v>22</v>
      </c>
      <c r="C4" s="3">
        <v>2500</v>
      </c>
      <c r="D4" s="3"/>
      <c r="E4" s="3">
        <f>1200*9</f>
        <v>10800</v>
      </c>
      <c r="F4" s="1"/>
      <c r="G4" s="1">
        <f>G3/G2</f>
        <v>30</v>
      </c>
      <c r="H4" s="1"/>
      <c r="I4" s="1"/>
      <c r="J4" s="1"/>
      <c r="K4" s="1"/>
      <c r="L4" s="1"/>
      <c r="M4" s="1"/>
      <c r="N4" s="1"/>
      <c r="O4" s="1"/>
      <c r="P4" s="1"/>
      <c r="Q4" s="1"/>
      <c r="R4">
        <v>38.364894741490453</v>
      </c>
      <c r="T4">
        <v>12</v>
      </c>
      <c r="V4" t="s">
        <v>6</v>
      </c>
      <c r="W4">
        <f>$C$2/$C$3*4</f>
        <v>6000</v>
      </c>
    </row>
    <row r="5" spans="2:30" x14ac:dyDescent="0.25">
      <c r="B5" t="s">
        <v>21</v>
      </c>
      <c r="C5" s="3">
        <v>3500</v>
      </c>
      <c r="D5" s="3"/>
      <c r="E5" s="3"/>
      <c r="F5" s="38"/>
      <c r="G5" s="1"/>
      <c r="H5" s="1" t="s">
        <v>34</v>
      </c>
      <c r="I5" s="1"/>
      <c r="J5" s="1"/>
      <c r="K5" s="1"/>
      <c r="L5" s="1"/>
      <c r="M5" s="1"/>
      <c r="N5" s="1"/>
      <c r="O5" s="1"/>
      <c r="P5" s="1"/>
      <c r="Q5" s="1"/>
      <c r="V5" t="s">
        <v>7</v>
      </c>
      <c r="W5">
        <f>$C$2/$C$3*5</f>
        <v>7500</v>
      </c>
    </row>
    <row r="6" spans="2:30" ht="15.75" thickBot="1" x14ac:dyDescent="0.3">
      <c r="C6" s="3"/>
      <c r="D6" s="3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V6" t="s">
        <v>8</v>
      </c>
      <c r="W6">
        <f>$C$2/$C$3*6</f>
        <v>9000</v>
      </c>
    </row>
    <row r="7" spans="2:30" x14ac:dyDescent="0.25">
      <c r="B7" s="6" t="s">
        <v>3</v>
      </c>
      <c r="C7" s="7">
        <f>W1</f>
        <v>1500</v>
      </c>
      <c r="D7" s="7"/>
      <c r="E7" s="8"/>
      <c r="F7" s="1"/>
      <c r="G7" s="6" t="s">
        <v>4</v>
      </c>
      <c r="H7" s="7">
        <f>W2</f>
        <v>3000</v>
      </c>
      <c r="I7" s="7"/>
      <c r="J7" s="8"/>
      <c r="L7" s="6" t="s">
        <v>5</v>
      </c>
      <c r="M7" s="7">
        <f>W3</f>
        <v>4500</v>
      </c>
      <c r="N7" s="7"/>
      <c r="O7" s="8"/>
      <c r="P7" s="3"/>
      <c r="Q7" s="6" t="s">
        <v>6</v>
      </c>
      <c r="R7" s="7">
        <f>W4</f>
        <v>6000</v>
      </c>
      <c r="S7" s="7"/>
      <c r="T7" s="8"/>
      <c r="U7" s="3"/>
      <c r="V7" t="s">
        <v>9</v>
      </c>
      <c r="W7">
        <f>$C$2/$C$3*7</f>
        <v>10500</v>
      </c>
    </row>
    <row r="8" spans="2:30" x14ac:dyDescent="0.25">
      <c r="B8" s="9" t="s">
        <v>2</v>
      </c>
      <c r="C8" s="4">
        <f>$C$4</f>
        <v>2500</v>
      </c>
      <c r="D8" s="4">
        <f>$C$5</f>
        <v>3500</v>
      </c>
      <c r="E8" s="10">
        <f>C7/E9</f>
        <v>2750.197416627951</v>
      </c>
      <c r="F8" s="1"/>
      <c r="G8" s="9" t="s">
        <v>2</v>
      </c>
      <c r="H8" s="4">
        <f>$C$4</f>
        <v>2500</v>
      </c>
      <c r="I8" s="4">
        <f>$C$5</f>
        <v>3500</v>
      </c>
      <c r="J8" s="10">
        <f>H7/J9</f>
        <v>2806.3238945183175</v>
      </c>
      <c r="K8" s="1"/>
      <c r="L8" s="9" t="s">
        <v>2</v>
      </c>
      <c r="M8" s="4">
        <f>$C$4</f>
        <v>2500</v>
      </c>
      <c r="N8" s="4">
        <f>$C$5</f>
        <v>3500</v>
      </c>
      <c r="O8" s="10">
        <f>M7/O9</f>
        <v>3222.8875976108807</v>
      </c>
      <c r="P8" s="3"/>
      <c r="Q8" s="9" t="s">
        <v>2</v>
      </c>
      <c r="R8" s="4">
        <f>$C$4</f>
        <v>2500</v>
      </c>
      <c r="S8" s="4">
        <f>$C$5</f>
        <v>3500</v>
      </c>
      <c r="T8" s="10">
        <f>R7/T9</f>
        <v>3395.3054526271007</v>
      </c>
      <c r="V8" t="s">
        <v>10</v>
      </c>
      <c r="W8">
        <f>$C$2/$C$3*8</f>
        <v>12000</v>
      </c>
    </row>
    <row r="9" spans="2:30" x14ac:dyDescent="0.25">
      <c r="B9" s="9"/>
      <c r="C9" s="5">
        <f>C7/C8</f>
        <v>0.6</v>
      </c>
      <c r="D9" s="5">
        <f>C7/D8</f>
        <v>0.42857142857142855</v>
      </c>
      <c r="E9" s="11">
        <f>(((E10/12)^2)/4)*PI()</f>
        <v>0.54541539124822802</v>
      </c>
      <c r="F9" s="2"/>
      <c r="G9" s="9"/>
      <c r="H9" s="5">
        <f>H7/H8</f>
        <v>1.2</v>
      </c>
      <c r="I9" s="5">
        <f>H7/I8</f>
        <v>0.8571428571428571</v>
      </c>
      <c r="J9" s="11">
        <f>(((J10/12)^2)/4)*PI()</f>
        <v>1.0690141668465269</v>
      </c>
      <c r="K9" s="2"/>
      <c r="L9" s="9"/>
      <c r="M9" s="5">
        <f>M7/M8</f>
        <v>1.8</v>
      </c>
      <c r="N9" s="5">
        <f>M7/N8</f>
        <v>1.2857142857142858</v>
      </c>
      <c r="O9" s="11">
        <f>(((O10/12)^2)/4)*PI()</f>
        <v>1.3962634015954636</v>
      </c>
      <c r="P9" s="2"/>
      <c r="Q9" s="9"/>
      <c r="R9" s="5">
        <f>R7/R8</f>
        <v>2.4</v>
      </c>
      <c r="S9" s="5">
        <f>R7/S8</f>
        <v>1.7142857142857142</v>
      </c>
      <c r="T9" s="11">
        <f>(((T10/12)^2)/4)*PI()</f>
        <v>1.7671458676442586</v>
      </c>
      <c r="V9" t="s">
        <v>11</v>
      </c>
      <c r="W9">
        <f>$C$2/$C$3*9</f>
        <v>13500</v>
      </c>
    </row>
    <row r="10" spans="2:30" ht="15.75" thickBot="1" x14ac:dyDescent="0.3">
      <c r="B10" s="12"/>
      <c r="C10" s="13">
        <f>SQRT(4*C9/(PI()))*12</f>
        <v>10.488464933683959</v>
      </c>
      <c r="D10" s="13">
        <f>SQRT(4*D9/(PI()))*12</f>
        <v>8.8643707642738452</v>
      </c>
      <c r="E10" s="14">
        <v>10</v>
      </c>
      <c r="F10" s="2"/>
      <c r="G10" s="12"/>
      <c r="H10" s="13">
        <f>SQRT(4*H9/(PI()))*12</f>
        <v>14.832929357690478</v>
      </c>
      <c r="I10" s="13">
        <f>SQRT(4*I9/(PI()))*12</f>
        <v>12.536113356739632</v>
      </c>
      <c r="J10" s="14">
        <v>14</v>
      </c>
      <c r="K10" s="2"/>
      <c r="L10" s="12"/>
      <c r="M10" s="13">
        <f>SQRT(4*M9/(PI()))*12</f>
        <v>18.166554158545154</v>
      </c>
      <c r="N10" s="13">
        <f>SQRT(4*N9/(PI()))*12</f>
        <v>15.353540540850464</v>
      </c>
      <c r="O10" s="14">
        <v>16</v>
      </c>
      <c r="P10" s="2"/>
      <c r="Q10" s="12"/>
      <c r="R10" s="13">
        <f>SQRT(4*R9/(PI()))*12</f>
        <v>20.976929867367918</v>
      </c>
      <c r="S10" s="13">
        <f>SQRT(4*S9/(PI()))*12</f>
        <v>17.72874152854769</v>
      </c>
      <c r="T10" s="14">
        <v>18</v>
      </c>
      <c r="V10" t="s">
        <v>12</v>
      </c>
      <c r="W10">
        <f>$C$2/$C$3*10</f>
        <v>15000</v>
      </c>
    </row>
    <row r="11" spans="2:30" ht="15.75" thickBot="1" x14ac:dyDescent="0.3">
      <c r="V11" t="s">
        <v>13</v>
      </c>
      <c r="W11">
        <f>$C$2/$C$3*11</f>
        <v>16500</v>
      </c>
    </row>
    <row r="12" spans="2:30" x14ac:dyDescent="0.25">
      <c r="B12" s="6" t="s">
        <v>7</v>
      </c>
      <c r="C12" s="7">
        <f>W5</f>
        <v>7500</v>
      </c>
      <c r="D12" s="7"/>
      <c r="E12" s="8"/>
      <c r="F12" s="1"/>
      <c r="G12" s="6" t="s">
        <v>8</v>
      </c>
      <c r="H12" s="7">
        <f>W6</f>
        <v>9000</v>
      </c>
      <c r="I12" s="7"/>
      <c r="J12" s="8"/>
      <c r="L12" s="6" t="s">
        <v>9</v>
      </c>
      <c r="M12" s="7">
        <f>W7</f>
        <v>10500</v>
      </c>
      <c r="N12" s="7"/>
      <c r="O12" s="8"/>
      <c r="P12" s="3"/>
      <c r="Q12" s="6" t="s">
        <v>10</v>
      </c>
      <c r="R12" s="7">
        <f>W8</f>
        <v>12000</v>
      </c>
      <c r="S12" s="7"/>
      <c r="T12" s="8"/>
      <c r="V12" t="s">
        <v>14</v>
      </c>
      <c r="W12">
        <f>$C$2/$C$3*12</f>
        <v>18000</v>
      </c>
    </row>
    <row r="13" spans="2:30" x14ac:dyDescent="0.25">
      <c r="B13" s="9" t="s">
        <v>2</v>
      </c>
      <c r="C13" s="4">
        <f>$C$4</f>
        <v>2500</v>
      </c>
      <c r="D13" s="4">
        <f>$C$5</f>
        <v>3500</v>
      </c>
      <c r="E13" s="10">
        <f>C12/E14</f>
        <v>3437.7467707849391</v>
      </c>
      <c r="F13" s="1"/>
      <c r="G13" s="9" t="s">
        <v>2</v>
      </c>
      <c r="H13" s="4">
        <f>$C$4</f>
        <v>2500</v>
      </c>
      <c r="I13" s="4">
        <f>$C$5</f>
        <v>3500</v>
      </c>
      <c r="J13" s="10">
        <f>H12/J14</f>
        <v>3409.3356404478741</v>
      </c>
      <c r="K13" s="1"/>
      <c r="L13" s="9" t="s">
        <v>2</v>
      </c>
      <c r="M13" s="4">
        <f>$C$4</f>
        <v>2500</v>
      </c>
      <c r="N13" s="4">
        <f>$C$5</f>
        <v>3500</v>
      </c>
      <c r="O13" s="10">
        <f>M12/O14</f>
        <v>3342.2538049298023</v>
      </c>
      <c r="P13" s="3"/>
      <c r="Q13" s="9" t="s">
        <v>2</v>
      </c>
      <c r="R13" s="4">
        <f>$C$4</f>
        <v>2500</v>
      </c>
      <c r="S13" s="4">
        <f>$C$5</f>
        <v>3500</v>
      </c>
      <c r="T13" s="10">
        <f>R12/T14</f>
        <v>3819.7186342054883</v>
      </c>
      <c r="V13" t="s">
        <v>15</v>
      </c>
      <c r="W13">
        <f>$C$2/$C$3*13</f>
        <v>19500</v>
      </c>
      <c r="Z13">
        <f>42/38</f>
        <v>1.1052631578947369</v>
      </c>
    </row>
    <row r="14" spans="2:30" x14ac:dyDescent="0.25">
      <c r="B14" s="9"/>
      <c r="C14" s="5">
        <f>C12/C13</f>
        <v>3</v>
      </c>
      <c r="D14" s="5">
        <f>C12/D13</f>
        <v>2.1428571428571428</v>
      </c>
      <c r="E14" s="11">
        <f>(((E15/12)^2)/4)*PI()</f>
        <v>2.1816615649929121</v>
      </c>
      <c r="F14" s="2"/>
      <c r="G14" s="9"/>
      <c r="H14" s="5">
        <f>H12/H13</f>
        <v>3.6</v>
      </c>
      <c r="I14" s="5">
        <f>H12/I13</f>
        <v>2.5714285714285716</v>
      </c>
      <c r="J14" s="11">
        <f>(((J15/12)^2)/4)*PI()</f>
        <v>2.6398104936414231</v>
      </c>
      <c r="K14" s="2"/>
      <c r="L14" s="9"/>
      <c r="M14" s="5">
        <f>M12/M13</f>
        <v>4.2</v>
      </c>
      <c r="N14" s="5">
        <f>M12/N13</f>
        <v>3</v>
      </c>
      <c r="O14" s="11">
        <f>(((O15/12)^2)/4)*PI()</f>
        <v>3.1415926535897931</v>
      </c>
      <c r="P14" s="2"/>
      <c r="Q14" s="9"/>
      <c r="R14" s="5">
        <f>R12/R13</f>
        <v>4.8</v>
      </c>
      <c r="S14" s="5">
        <f>R12/S13</f>
        <v>3.4285714285714284</v>
      </c>
      <c r="T14" s="11">
        <f>(((T15/12)^2)/4)*PI()</f>
        <v>3.1415926535897931</v>
      </c>
      <c r="V14" t="s">
        <v>16</v>
      </c>
      <c r="W14">
        <f>$C$2/$C$3*14</f>
        <v>21000</v>
      </c>
    </row>
    <row r="15" spans="2:30" ht="15.75" thickBot="1" x14ac:dyDescent="0.3">
      <c r="B15" s="12"/>
      <c r="C15" s="13">
        <f>SQRT(4*C14/(PI()))*12</f>
        <v>23.452920571340158</v>
      </c>
      <c r="D15" s="13">
        <f>SQRT(4*D14/(PI()))*12</f>
        <v>19.821335606678087</v>
      </c>
      <c r="E15" s="14">
        <v>20</v>
      </c>
      <c r="F15" s="2"/>
      <c r="G15" s="12"/>
      <c r="H15" s="13">
        <f>SQRT(4*H14/(PI()))*12</f>
        <v>25.691387272599904</v>
      </c>
      <c r="I15" s="13">
        <f>SQRT(4*I14/(PI()))*12</f>
        <v>21.713185263315872</v>
      </c>
      <c r="J15" s="14">
        <v>22</v>
      </c>
      <c r="K15" s="2"/>
      <c r="L15" s="12"/>
      <c r="M15" s="13">
        <f>SQRT(4*M14/(PI()))*12</f>
        <v>27.749869849349324</v>
      </c>
      <c r="N15" s="13">
        <f>SQRT(4*N14/(PI()))*12</f>
        <v>23.452920571340158</v>
      </c>
      <c r="O15" s="14">
        <v>24</v>
      </c>
      <c r="P15" s="2"/>
      <c r="Q15" s="12"/>
      <c r="R15" s="13">
        <f>SQRT(4*R14/(PI()))*12</f>
        <v>29.665858715380956</v>
      </c>
      <c r="S15" s="13">
        <f>SQRT(4*S14/(PI()))*12</f>
        <v>25.072226713479264</v>
      </c>
      <c r="T15" s="14">
        <v>24</v>
      </c>
      <c r="V15" t="s">
        <v>17</v>
      </c>
      <c r="W15">
        <f>$C$2/$C$3*15</f>
        <v>22500</v>
      </c>
    </row>
    <row r="16" spans="2:30" ht="15.75" thickBot="1" x14ac:dyDescent="0.3">
      <c r="V16" t="s">
        <v>18</v>
      </c>
      <c r="W16">
        <f>$C$2/$C$3*16</f>
        <v>24000</v>
      </c>
    </row>
    <row r="17" spans="2:23" x14ac:dyDescent="0.25">
      <c r="B17" s="6" t="s">
        <v>11</v>
      </c>
      <c r="C17" s="7">
        <f>W9</f>
        <v>13500</v>
      </c>
      <c r="D17" s="7"/>
      <c r="E17" s="8"/>
      <c r="F17" s="1"/>
      <c r="G17" s="6" t="s">
        <v>12</v>
      </c>
      <c r="H17" s="7">
        <f>W10</f>
        <v>15000</v>
      </c>
      <c r="I17" s="7"/>
      <c r="J17" s="8"/>
      <c r="L17" s="6" t="s">
        <v>13</v>
      </c>
      <c r="M17" s="7">
        <f>W11</f>
        <v>16500</v>
      </c>
      <c r="N17" s="7"/>
      <c r="O17" s="8"/>
      <c r="P17" s="3"/>
      <c r="Q17" s="6" t="s">
        <v>14</v>
      </c>
      <c r="R17" s="7">
        <f>W12</f>
        <v>18000</v>
      </c>
      <c r="S17" s="7"/>
      <c r="T17" s="8"/>
      <c r="V17" t="s">
        <v>19</v>
      </c>
      <c r="W17">
        <f>$C$2/$C$3*17</f>
        <v>25500</v>
      </c>
    </row>
    <row r="18" spans="2:23" x14ac:dyDescent="0.25">
      <c r="B18" s="9" t="s">
        <v>2</v>
      </c>
      <c r="C18" s="4">
        <f>$C$4</f>
        <v>2500</v>
      </c>
      <c r="D18" s="4">
        <f>$C$5</f>
        <v>3500</v>
      </c>
      <c r="E18" s="10">
        <f>C17/E19</f>
        <v>2943.1363554877012</v>
      </c>
      <c r="F18" s="1"/>
      <c r="G18" s="9" t="s">
        <v>2</v>
      </c>
      <c r="H18" s="4">
        <f>$C$4</f>
        <v>2500</v>
      </c>
      <c r="I18" s="4">
        <f>$C$5</f>
        <v>3500</v>
      </c>
      <c r="J18" s="10">
        <f>H17/J19</f>
        <v>3055.7749073643904</v>
      </c>
      <c r="K18" s="1"/>
      <c r="L18" s="9" t="s">
        <v>2</v>
      </c>
      <c r="M18" s="4">
        <f>$C$4</f>
        <v>2500</v>
      </c>
      <c r="N18" s="4">
        <f>$C$5</f>
        <v>3500</v>
      </c>
      <c r="O18" s="10">
        <f>M17/O19</f>
        <v>2954.3136311433072</v>
      </c>
      <c r="P18" s="3"/>
      <c r="Q18" s="9" t="s">
        <v>2</v>
      </c>
      <c r="R18" s="4">
        <f>$C$4</f>
        <v>2500</v>
      </c>
      <c r="S18" s="4">
        <f>$C$5</f>
        <v>3500</v>
      </c>
      <c r="T18" s="10">
        <f>R17/T19</f>
        <v>3030.5205692869986</v>
      </c>
      <c r="V18" t="s">
        <v>20</v>
      </c>
      <c r="W18">
        <f>$C$2/$C$3*18</f>
        <v>27000</v>
      </c>
    </row>
    <row r="19" spans="2:23" x14ac:dyDescent="0.25">
      <c r="B19" s="9"/>
      <c r="C19" s="5">
        <f>C17/C18</f>
        <v>5.4</v>
      </c>
      <c r="D19" s="5">
        <f>C17/D18</f>
        <v>3.8571428571428572</v>
      </c>
      <c r="E19" s="11">
        <f>(((E20/12)^2)/4)*PI()</f>
        <v>4.5869434403975964</v>
      </c>
      <c r="F19" s="2"/>
      <c r="G19" s="9"/>
      <c r="H19" s="5">
        <f>H17/H18</f>
        <v>6</v>
      </c>
      <c r="I19" s="5">
        <f>H17/I18</f>
        <v>4.2857142857142856</v>
      </c>
      <c r="J19" s="11">
        <f>(((J20/12)^2)/4)*PI()</f>
        <v>4.908738521234052</v>
      </c>
      <c r="K19" s="2"/>
      <c r="L19" s="9"/>
      <c r="M19" s="5">
        <f>M17/M18</f>
        <v>6.6</v>
      </c>
      <c r="N19" s="5">
        <f>M17/N18</f>
        <v>4.7142857142857144</v>
      </c>
      <c r="O19" s="11">
        <f>(((O20/12)^2)/4)*PI()</f>
        <v>5.5850536063818543</v>
      </c>
      <c r="P19" s="2"/>
      <c r="Q19" s="9"/>
      <c r="R19" s="5">
        <f>R17/R18</f>
        <v>7.2</v>
      </c>
      <c r="S19" s="5">
        <f>R17/S18</f>
        <v>5.1428571428571432</v>
      </c>
      <c r="T19" s="11">
        <f>(((T20/12)^2)/4)*PI()</f>
        <v>5.9395736106932029</v>
      </c>
      <c r="V19" t="s">
        <v>28</v>
      </c>
      <c r="W19">
        <f>$C$2/$C$3*19</f>
        <v>28500</v>
      </c>
    </row>
    <row r="20" spans="2:23" ht="15.75" thickBot="1" x14ac:dyDescent="0.3">
      <c r="B20" s="12"/>
      <c r="C20" s="13">
        <f>SQRT(4*C19/(PI()))*12</f>
        <v>31.465394801051879</v>
      </c>
      <c r="D20" s="13">
        <f>SQRT(4*D19/(PI()))*12</f>
        <v>26.593112292821541</v>
      </c>
      <c r="E20" s="14">
        <f>ROUNDDOWN(AVERAGE(C20:D20),0)</f>
        <v>29</v>
      </c>
      <c r="F20" s="2"/>
      <c r="G20" s="12"/>
      <c r="H20" s="13">
        <f>SQRT(4*H19/(PI()))*12</f>
        <v>33.167438349248208</v>
      </c>
      <c r="I20" s="13">
        <f>SQRT(4*I19/(PI()))*12</f>
        <v>28.031601639312889</v>
      </c>
      <c r="J20" s="14">
        <f>ROUNDDOWN(AVERAGE(H20:I20),0)</f>
        <v>30</v>
      </c>
      <c r="K20" s="2"/>
      <c r="L20" s="12"/>
      <c r="M20" s="13">
        <f>SQRT(4*M19/(PI()))*12</f>
        <v>34.786302811829522</v>
      </c>
      <c r="N20" s="13">
        <f>SQRT(4*N19/(PI()))*12</f>
        <v>29.399791827692283</v>
      </c>
      <c r="O20" s="14">
        <f>ROUNDDOWN(AVERAGE(M20:N20),0)</f>
        <v>32</v>
      </c>
      <c r="P20" s="2"/>
      <c r="Q20" s="12"/>
      <c r="R20" s="13">
        <f>SQRT(4*R19/(PI()))*12</f>
        <v>36.333108317090307</v>
      </c>
      <c r="S20" s="13">
        <f>SQRT(4*S19/(PI()))*12</f>
        <v>30.707081081700927</v>
      </c>
      <c r="T20" s="14">
        <f>ROUNDDOWN(AVERAGE(R20:S20),0)</f>
        <v>33</v>
      </c>
      <c r="V20" t="s">
        <v>29</v>
      </c>
      <c r="W20">
        <f>$C$2/$C$3*20</f>
        <v>30000</v>
      </c>
    </row>
    <row r="21" spans="2:23" ht="15.75" thickBot="1" x14ac:dyDescent="0.3">
      <c r="V21" t="s">
        <v>30</v>
      </c>
      <c r="W21">
        <f>$C$2/$C$3*21</f>
        <v>31500</v>
      </c>
    </row>
    <row r="22" spans="2:23" x14ac:dyDescent="0.25">
      <c r="B22" s="6" t="s">
        <v>15</v>
      </c>
      <c r="C22" s="7">
        <f>W13</f>
        <v>19500</v>
      </c>
      <c r="D22" s="7"/>
      <c r="E22" s="8"/>
      <c r="F22" s="1"/>
      <c r="G22" s="6" t="s">
        <v>16</v>
      </c>
      <c r="H22" s="7">
        <f>W14</f>
        <v>21000</v>
      </c>
      <c r="I22" s="7"/>
      <c r="J22" s="8"/>
      <c r="L22" s="6" t="s">
        <v>17</v>
      </c>
      <c r="M22" s="7">
        <f>W15</f>
        <v>22500</v>
      </c>
      <c r="N22" s="7"/>
      <c r="O22" s="8"/>
      <c r="P22" s="3"/>
      <c r="Q22" s="6" t="s">
        <v>18</v>
      </c>
      <c r="R22" s="7">
        <f>W16</f>
        <v>24000</v>
      </c>
      <c r="S22" s="7"/>
      <c r="T22" s="8"/>
      <c r="V22" t="s">
        <v>31</v>
      </c>
      <c r="W22">
        <f>$C$2/$C$3*22</f>
        <v>33000</v>
      </c>
    </row>
    <row r="23" spans="2:23" x14ac:dyDescent="0.25">
      <c r="B23" s="9" t="s">
        <v>2</v>
      </c>
      <c r="C23" s="4">
        <f>$C$4</f>
        <v>2500</v>
      </c>
      <c r="D23" s="4">
        <f>$C$5</f>
        <v>3500</v>
      </c>
      <c r="E23" s="10">
        <f>C22/E24</f>
        <v>3092.7825619518485</v>
      </c>
      <c r="F23" s="1"/>
      <c r="G23" s="9" t="s">
        <v>2</v>
      </c>
      <c r="H23" s="4">
        <f>$C$4</f>
        <v>2500</v>
      </c>
      <c r="I23" s="4">
        <f>$C$5</f>
        <v>3500</v>
      </c>
      <c r="J23" s="10">
        <f>H22/J24</f>
        <v>2970.8922710487132</v>
      </c>
      <c r="K23" s="1"/>
      <c r="L23" s="9" t="s">
        <v>2</v>
      </c>
      <c r="M23" s="4">
        <f>$C$4</f>
        <v>2500</v>
      </c>
      <c r="N23" s="4">
        <f>$C$5</f>
        <v>3500</v>
      </c>
      <c r="O23" s="10">
        <f>M22/O24</f>
        <v>3013.3645908998737</v>
      </c>
      <c r="P23" s="3"/>
      <c r="Q23" s="9" t="s">
        <v>2</v>
      </c>
      <c r="R23" s="4">
        <f>$C$4</f>
        <v>2500</v>
      </c>
      <c r="S23" s="4">
        <f>$C$5</f>
        <v>3500</v>
      </c>
      <c r="T23" s="10">
        <f>R22/T24</f>
        <v>3047.3101569284781</v>
      </c>
      <c r="V23" t="s">
        <v>32</v>
      </c>
      <c r="W23">
        <f>$C$2/$C$3*23</f>
        <v>34500</v>
      </c>
    </row>
    <row r="24" spans="2:23" x14ac:dyDescent="0.25">
      <c r="B24" s="9"/>
      <c r="C24" s="5">
        <f>C22/C23</f>
        <v>7.8</v>
      </c>
      <c r="D24" s="5">
        <f>C22/D23</f>
        <v>5.5714285714285712</v>
      </c>
      <c r="E24" s="11">
        <f>(((E25/12)^2)/4)*PI()</f>
        <v>6.3050019228295158</v>
      </c>
      <c r="F24" s="2"/>
      <c r="G24" s="9"/>
      <c r="H24" s="5">
        <f>H22/H23</f>
        <v>8.4</v>
      </c>
      <c r="I24" s="5">
        <f>H22/I23</f>
        <v>6</v>
      </c>
      <c r="J24" s="11">
        <f>(((J25/12)^2)/4)*PI()</f>
        <v>7.0685834705770345</v>
      </c>
      <c r="K24" s="2"/>
      <c r="L24" s="9"/>
      <c r="M24" s="5">
        <f>M22/M23</f>
        <v>9</v>
      </c>
      <c r="N24" s="5">
        <f>M22/N23</f>
        <v>6.4285714285714288</v>
      </c>
      <c r="O24" s="11">
        <f>(((O25/12)^2)/4)*PI()</f>
        <v>7.4667367061882413</v>
      </c>
      <c r="P24" s="2"/>
      <c r="Q24" s="9"/>
      <c r="R24" s="5">
        <f>R22/R23</f>
        <v>9.6</v>
      </c>
      <c r="S24" s="5">
        <f>R22/S23</f>
        <v>6.8571428571428568</v>
      </c>
      <c r="T24" s="11">
        <f>(((T25/12)^2)/4)*PI()</f>
        <v>7.8757982496244114</v>
      </c>
      <c r="V24" t="s">
        <v>33</v>
      </c>
      <c r="W24">
        <f>$C$2/$C$3*24</f>
        <v>36000</v>
      </c>
    </row>
    <row r="25" spans="2:23" ht="15.75" thickBot="1" x14ac:dyDescent="0.3">
      <c r="B25" s="12"/>
      <c r="C25" s="13">
        <f>SQRT(4*C24/(PI()))*12</f>
        <v>37.816698119303524</v>
      </c>
      <c r="D25" s="13">
        <f>SQRT(4*D24/(PI()))*12</f>
        <v>31.960943315313266</v>
      </c>
      <c r="E25" s="14">
        <f>ROUNDDOWN(AVERAGE(C25:D25),0)</f>
        <v>34</v>
      </c>
      <c r="F25" s="2"/>
      <c r="G25" s="12"/>
      <c r="H25" s="13">
        <f>SQRT(4*H24/(PI()))*12</f>
        <v>39.244242295038042</v>
      </c>
      <c r="I25" s="13">
        <f>SQRT(4*I24/(PI()))*12</f>
        <v>33.167438349248208</v>
      </c>
      <c r="J25" s="14">
        <f>ROUNDDOWN(AVERAGE(H25:I25),0)</f>
        <v>36</v>
      </c>
      <c r="K25" s="2"/>
      <c r="L25" s="12"/>
      <c r="M25" s="13">
        <f>SQRT(4*M24/(PI()))*12</f>
        <v>40.621650015438455</v>
      </c>
      <c r="N25" s="13">
        <f>SQRT(4*N24/(PI()))*12</f>
        <v>34.331560344640522</v>
      </c>
      <c r="O25" s="14">
        <f>ROUNDDOWN(AVERAGE(M25:N25),0)</f>
        <v>37</v>
      </c>
      <c r="P25" s="2"/>
      <c r="Q25" s="12"/>
      <c r="R25" s="13">
        <f>SQRT(4*R24/(PI()))*12</f>
        <v>41.953859734735836</v>
      </c>
      <c r="S25" s="13">
        <f>SQRT(4*S24/(PI()))*12</f>
        <v>35.457483057095381</v>
      </c>
      <c r="T25" s="14">
        <f>ROUNDDOWN(AVERAGE(R25:S25),0)</f>
        <v>38</v>
      </c>
      <c r="V25" t="s">
        <v>53</v>
      </c>
      <c r="W25">
        <f>$C$2/$C$3*25</f>
        <v>37500</v>
      </c>
    </row>
    <row r="26" spans="2:23" ht="15.75" thickBot="1" x14ac:dyDescent="0.3">
      <c r="V26" t="s">
        <v>54</v>
      </c>
      <c r="W26">
        <f>$C$2/$C$3*26</f>
        <v>39000</v>
      </c>
    </row>
    <row r="27" spans="2:23" x14ac:dyDescent="0.25">
      <c r="B27" s="6" t="s">
        <v>19</v>
      </c>
      <c r="C27" s="7">
        <f>W17</f>
        <v>25500</v>
      </c>
      <c r="D27" s="7"/>
      <c r="E27" s="8"/>
      <c r="F27" s="1"/>
      <c r="G27" s="6" t="s">
        <v>20</v>
      </c>
      <c r="H27" s="7">
        <f>W18</f>
        <v>27000</v>
      </c>
      <c r="I27" s="7"/>
      <c r="J27" s="8"/>
      <c r="L27" s="6" t="s">
        <v>28</v>
      </c>
      <c r="M27" s="7">
        <f>W19</f>
        <v>28500</v>
      </c>
      <c r="N27" s="7"/>
      <c r="O27" s="8"/>
      <c r="Q27" s="6" t="s">
        <v>29</v>
      </c>
      <c r="R27" s="7">
        <f>W20</f>
        <v>30000</v>
      </c>
      <c r="S27" s="7"/>
      <c r="T27" s="8"/>
      <c r="V27" t="s">
        <v>55</v>
      </c>
      <c r="W27">
        <f>$C$2/$C$3*27</f>
        <v>40500</v>
      </c>
    </row>
    <row r="28" spans="2:23" x14ac:dyDescent="0.25">
      <c r="B28" s="9" t="s">
        <v>2</v>
      </c>
      <c r="C28" s="4">
        <f>$C$4</f>
        <v>2500</v>
      </c>
      <c r="D28" s="4">
        <f>$C$5</f>
        <v>3500</v>
      </c>
      <c r="E28" s="10">
        <f>C27/E29</f>
        <v>3073.8564156919906</v>
      </c>
      <c r="F28" s="1"/>
      <c r="G28" s="9" t="s">
        <v>2</v>
      </c>
      <c r="H28" s="4">
        <f>$C$4</f>
        <v>2500</v>
      </c>
      <c r="I28" s="4">
        <f>$C$5</f>
        <v>3500</v>
      </c>
      <c r="J28" s="10">
        <f>H27/J29</f>
        <v>2944.8871802083959</v>
      </c>
      <c r="L28" s="9" t="s">
        <v>2</v>
      </c>
      <c r="M28" s="4">
        <f>$C$4</f>
        <v>2500</v>
      </c>
      <c r="N28" s="4">
        <f>$C$5</f>
        <v>3500</v>
      </c>
      <c r="O28" s="10">
        <f>M27/O29</f>
        <v>2962.2307775471136</v>
      </c>
      <c r="Q28" s="9" t="s">
        <v>2</v>
      </c>
      <c r="R28" s="4">
        <f>$C$4</f>
        <v>2500</v>
      </c>
      <c r="S28" s="4">
        <f>$C$5</f>
        <v>3500</v>
      </c>
      <c r="T28" s="10">
        <f>R27/T29</f>
        <v>2974.7943933239062</v>
      </c>
      <c r="V28" t="s">
        <v>56</v>
      </c>
      <c r="W28">
        <f>$C$2/$C$3*28</f>
        <v>42000</v>
      </c>
    </row>
    <row r="29" spans="2:23" x14ac:dyDescent="0.25">
      <c r="B29" s="9"/>
      <c r="C29" s="5">
        <f>C27/C28</f>
        <v>10.199999999999999</v>
      </c>
      <c r="D29" s="5">
        <f>C27/D28</f>
        <v>7.2857142857142856</v>
      </c>
      <c r="E29" s="11">
        <f>(((E30/12)^2)/4)*PI()</f>
        <v>8.2957681008855477</v>
      </c>
      <c r="F29" s="2"/>
      <c r="G29" s="9"/>
      <c r="H29" s="5">
        <f>H27/H28</f>
        <v>10.8</v>
      </c>
      <c r="I29" s="5">
        <f>H27/I28</f>
        <v>7.7142857142857144</v>
      </c>
      <c r="J29" s="11">
        <f>(((J30/12)^2)/4)*PI()</f>
        <v>9.1684327268827115</v>
      </c>
      <c r="L29" s="9"/>
      <c r="M29" s="5">
        <f>M27/M28</f>
        <v>11.4</v>
      </c>
      <c r="N29" s="5">
        <f>M27/N28</f>
        <v>8.1428571428571423</v>
      </c>
      <c r="O29" s="11">
        <f>(((O30/12)^2)/4)*PI()</f>
        <v>9.6211275016187408</v>
      </c>
      <c r="Q29" s="9"/>
      <c r="R29" s="5">
        <f>R27/R28</f>
        <v>12</v>
      </c>
      <c r="S29" s="5">
        <f>R27/S28</f>
        <v>8.5714285714285712</v>
      </c>
      <c r="T29" s="11">
        <f>(((T30/12)^2)/4)*PI()</f>
        <v>10.084730584179736</v>
      </c>
      <c r="V29" t="s">
        <v>57</v>
      </c>
      <c r="W29">
        <f>$C$2/$C$3*29</f>
        <v>43500</v>
      </c>
    </row>
    <row r="30" spans="2:23" ht="15.75" thickBot="1" x14ac:dyDescent="0.3">
      <c r="B30" s="12"/>
      <c r="C30" s="13">
        <f>SQRT(4*C29/(PI()))*12</f>
        <v>43.245048772165894</v>
      </c>
      <c r="D30" s="13">
        <f>SQRT(4*D29/(PI()))*12</f>
        <v>36.548736965738222</v>
      </c>
      <c r="E30" s="14">
        <f>ROUNDDOWN(AVERAGE(C30:D30),0)</f>
        <v>39</v>
      </c>
      <c r="F30" s="2"/>
      <c r="G30" s="12"/>
      <c r="H30" s="13">
        <f>SQRT(4*H29/(PI()))*12</f>
        <v>44.498788073071438</v>
      </c>
      <c r="I30" s="13">
        <f>SQRT(4*I29/(PI()))*12</f>
        <v>37.608340070218894</v>
      </c>
      <c r="J30" s="14">
        <f>ROUNDDOWN(AVERAGE(H30:I30),0)</f>
        <v>41</v>
      </c>
      <c r="L30" s="12"/>
      <c r="M30" s="13">
        <f>SQRT(4*M29/(PI()))*12</f>
        <v>45.718158718798414</v>
      </c>
      <c r="N30" s="13">
        <f>SQRT(4*N29/(PI()))*12</f>
        <v>38.638896359546102</v>
      </c>
      <c r="O30" s="14">
        <f>ROUNDDOWN(AVERAGE(M30:N30),0)</f>
        <v>42</v>
      </c>
      <c r="Q30" s="12"/>
      <c r="R30" s="13">
        <f>SQRT(4*R29/(PI()))*12</f>
        <v>46.905841142680316</v>
      </c>
      <c r="S30" s="13">
        <f>SQRT(4*S29/(PI()))*12</f>
        <v>39.642671213356174</v>
      </c>
      <c r="T30" s="14">
        <f>ROUNDDOWN(AVERAGE(R30:S30),0)</f>
        <v>43</v>
      </c>
      <c r="V30" t="s">
        <v>58</v>
      </c>
      <c r="W30">
        <f>$C$2/$C$3*30</f>
        <v>45000</v>
      </c>
    </row>
    <row r="31" spans="2:23" ht="15.75" thickBot="1" x14ac:dyDescent="0.3">
      <c r="V31" t="s">
        <v>59</v>
      </c>
      <c r="W31">
        <f>$C$2/$C$3*31</f>
        <v>46500</v>
      </c>
    </row>
    <row r="32" spans="2:23" x14ac:dyDescent="0.25">
      <c r="B32" s="6" t="s">
        <v>30</v>
      </c>
      <c r="C32" s="7">
        <f>W21</f>
        <v>31500</v>
      </c>
      <c r="D32" s="7"/>
      <c r="E32" s="8"/>
      <c r="F32" s="1"/>
      <c r="G32" s="6" t="s">
        <v>31</v>
      </c>
      <c r="H32" s="7">
        <f>W22</f>
        <v>33000</v>
      </c>
      <c r="I32" s="7"/>
      <c r="J32" s="8"/>
      <c r="L32" s="6" t="s">
        <v>32</v>
      </c>
      <c r="M32" s="7">
        <f>W23</f>
        <v>34500</v>
      </c>
      <c r="N32" s="7"/>
      <c r="O32" s="8"/>
      <c r="Q32" s="6" t="s">
        <v>33</v>
      </c>
      <c r="R32" s="7">
        <f>W24</f>
        <v>36000</v>
      </c>
      <c r="S32" s="7"/>
      <c r="T32" s="8"/>
      <c r="V32" t="s">
        <v>60</v>
      </c>
      <c r="W32">
        <f>$C$2/$C$3*32</f>
        <v>48000</v>
      </c>
    </row>
    <row r="33" spans="2:23" x14ac:dyDescent="0.25">
      <c r="B33" s="9" t="s">
        <v>2</v>
      </c>
      <c r="C33" s="4">
        <f>$C$4</f>
        <v>2500</v>
      </c>
      <c r="D33" s="4">
        <f>$C$5</f>
        <v>3500</v>
      </c>
      <c r="E33" s="10">
        <f>C32/E34</f>
        <v>2983.16868539189</v>
      </c>
      <c r="F33" s="1"/>
      <c r="G33" s="9" t="s">
        <v>2</v>
      </c>
      <c r="H33" s="4">
        <f>$C$4</f>
        <v>2500</v>
      </c>
      <c r="I33" s="4">
        <f>$C$5</f>
        <v>3500</v>
      </c>
      <c r="J33" s="10">
        <f>H32/J34</f>
        <v>2987.8687983118484</v>
      </c>
      <c r="L33" s="9" t="s">
        <v>2</v>
      </c>
      <c r="M33" s="4">
        <f>$C$4</f>
        <v>2500</v>
      </c>
      <c r="N33" s="4">
        <f>$C$5</f>
        <v>3500</v>
      </c>
      <c r="O33" s="10">
        <f>M32/O34</f>
        <v>2989.34501807386</v>
      </c>
      <c r="Q33" s="9" t="s">
        <v>2</v>
      </c>
      <c r="R33" s="4">
        <f>$C$4</f>
        <v>2500</v>
      </c>
      <c r="S33" s="4">
        <f>$C$5</f>
        <v>3500</v>
      </c>
      <c r="T33" s="10">
        <f>R32/T34</f>
        <v>2987.9917609357553</v>
      </c>
      <c r="V33" t="s">
        <v>61</v>
      </c>
      <c r="W33">
        <f>$C$2/$C$3*33</f>
        <v>49500</v>
      </c>
    </row>
    <row r="34" spans="2:23" x14ac:dyDescent="0.25">
      <c r="B34" s="9"/>
      <c r="C34" s="5">
        <f>C32/C33</f>
        <v>12.6</v>
      </c>
      <c r="D34" s="5">
        <f>C32/D33</f>
        <v>9</v>
      </c>
      <c r="E34" s="11">
        <f>(((E35/12)^2)/4)*PI()</f>
        <v>10.559241974565692</v>
      </c>
      <c r="F34" s="2"/>
      <c r="G34" s="9"/>
      <c r="H34" s="5">
        <f>H32/H33</f>
        <v>13.2</v>
      </c>
      <c r="I34" s="5">
        <f>H32/I33</f>
        <v>9.4285714285714288</v>
      </c>
      <c r="J34" s="11">
        <f>(((J35/12)^2)/4)*PI()</f>
        <v>11.044661672776616</v>
      </c>
      <c r="L34" s="9"/>
      <c r="M34" s="5">
        <f>M32/M33</f>
        <v>13.8</v>
      </c>
      <c r="N34" s="5">
        <f>M32/N33</f>
        <v>9.8571428571428577</v>
      </c>
      <c r="O34" s="11">
        <f>(((O35/12)^2)/4)*PI()</f>
        <v>11.540989678812505</v>
      </c>
      <c r="Q34" s="9"/>
      <c r="R34" s="5">
        <f>R32/R33</f>
        <v>14.4</v>
      </c>
      <c r="S34" s="5">
        <f>R32/S33</f>
        <v>10.285714285714286</v>
      </c>
      <c r="T34" s="11">
        <f>(((T35/12)^2)/4)*PI()</f>
        <v>12.048225992673355</v>
      </c>
      <c r="V34" t="s">
        <v>62</v>
      </c>
      <c r="W34">
        <f>$C$2/$C$3*34</f>
        <v>51000</v>
      </c>
    </row>
    <row r="35" spans="2:23" ht="15.75" thickBot="1" x14ac:dyDescent="0.3">
      <c r="B35" s="12"/>
      <c r="C35" s="13">
        <f>SQRT(4*C34/(PI()))*12</f>
        <v>48.064184482496728</v>
      </c>
      <c r="D35" s="13">
        <f>SQRT(4*D34/(PI()))*12</f>
        <v>40.621650015438455</v>
      </c>
      <c r="E35" s="14">
        <f>ROUNDDOWN(AVERAGE(C35:D35),0)</f>
        <v>44</v>
      </c>
      <c r="F35" s="2"/>
      <c r="G35" s="12"/>
      <c r="H35" s="13">
        <f>SQRT(4*H34/(PI()))*12</f>
        <v>49.195261221306644</v>
      </c>
      <c r="I35" s="13">
        <f>SQRT(4*I34/(PI()))*12</f>
        <v>41.577584333668113</v>
      </c>
      <c r="J35" s="14">
        <f>ROUNDDOWN(AVERAGE(H35:I35),0)</f>
        <v>45</v>
      </c>
      <c r="L35" s="12"/>
      <c r="M35" s="13">
        <f>SQRT(4*M34/(PI()))*12</f>
        <v>50.300910760121589</v>
      </c>
      <c r="N35" s="13">
        <f>SQRT(4*N34/(PI()))*12</f>
        <v>42.512028745636179</v>
      </c>
      <c r="O35" s="14">
        <f>ROUNDDOWN(AVERAGE(M35:N35),0)</f>
        <v>46</v>
      </c>
      <c r="Q35" s="12"/>
      <c r="R35" s="13">
        <f>SQRT(4*R34/(PI()))*12</f>
        <v>51.382774545199808</v>
      </c>
      <c r="S35" s="13">
        <f>SQRT(4*S34/(PI()))*12</f>
        <v>43.426370526631743</v>
      </c>
      <c r="T35" s="14">
        <f>ROUNDDOWN(AVERAGE(R35:S35),0)</f>
        <v>47</v>
      </c>
      <c r="V35" t="s">
        <v>63</v>
      </c>
      <c r="W35">
        <f>$C$2/$C$3*35</f>
        <v>52500</v>
      </c>
    </row>
    <row r="36" spans="2:23" ht="15.75" thickBot="1" x14ac:dyDescent="0.3">
      <c r="V36" t="s">
        <v>64</v>
      </c>
      <c r="W36">
        <f>$C$2/$C$3*36</f>
        <v>54000</v>
      </c>
    </row>
    <row r="37" spans="2:23" x14ac:dyDescent="0.25">
      <c r="B37" s="6" t="s">
        <v>53</v>
      </c>
      <c r="C37" s="7">
        <f>W25</f>
        <v>37500</v>
      </c>
      <c r="D37" s="7"/>
      <c r="E37" s="8"/>
      <c r="F37" s="1"/>
      <c r="G37" s="6" t="s">
        <v>54</v>
      </c>
      <c r="H37" s="7">
        <f>W26</f>
        <v>39000</v>
      </c>
      <c r="I37" s="7"/>
      <c r="J37" s="8"/>
      <c r="L37" s="6" t="s">
        <v>55</v>
      </c>
      <c r="M37" s="7">
        <f>W27</f>
        <v>40500</v>
      </c>
      <c r="N37" s="7"/>
      <c r="O37" s="8"/>
      <c r="Q37" s="6" t="s">
        <v>56</v>
      </c>
      <c r="R37" s="7">
        <f>W28</f>
        <v>42000</v>
      </c>
      <c r="S37" s="7"/>
      <c r="T37" s="8"/>
      <c r="V37" t="s">
        <v>65</v>
      </c>
      <c r="W37">
        <f>$C$2/$C$3*37</f>
        <v>55500</v>
      </c>
    </row>
    <row r="38" spans="2:23" x14ac:dyDescent="0.25">
      <c r="B38" s="9" t="s">
        <v>2</v>
      </c>
      <c r="C38" s="4">
        <f>$C$4</f>
        <v>2500</v>
      </c>
      <c r="D38" s="4">
        <f>$C$5</f>
        <v>3500</v>
      </c>
      <c r="E38" s="10">
        <f>C37/E39</f>
        <v>2984.1551829730379</v>
      </c>
      <c r="F38" s="1"/>
      <c r="G38" s="9" t="s">
        <v>2</v>
      </c>
      <c r="H38" s="4">
        <f>$C$4</f>
        <v>2500</v>
      </c>
      <c r="I38" s="4">
        <f>$C$5</f>
        <v>3500</v>
      </c>
      <c r="J38" s="10">
        <f>H37/J39</f>
        <v>2978.1396431622975</v>
      </c>
      <c r="L38" s="9" t="s">
        <v>2</v>
      </c>
      <c r="M38" s="4">
        <f>$C$4</f>
        <v>2500</v>
      </c>
      <c r="N38" s="4">
        <f>$C$5</f>
        <v>3500</v>
      </c>
      <c r="O38" s="10">
        <f>M37/O39</f>
        <v>2970.2132099581872</v>
      </c>
      <c r="Q38" s="9" t="s">
        <v>2</v>
      </c>
      <c r="R38" s="4">
        <f>$C$4</f>
        <v>2500</v>
      </c>
      <c r="S38" s="4">
        <f>$C$5</f>
        <v>3500</v>
      </c>
      <c r="T38" s="10">
        <f>R37/T39</f>
        <v>2960.6123669966414</v>
      </c>
      <c r="V38" t="s">
        <v>66</v>
      </c>
      <c r="W38">
        <f>$C$2/$C$3*38</f>
        <v>57000</v>
      </c>
    </row>
    <row r="39" spans="2:23" x14ac:dyDescent="0.25">
      <c r="B39" s="9"/>
      <c r="C39" s="5">
        <f>C37/C38</f>
        <v>15</v>
      </c>
      <c r="D39" s="5">
        <f>C37/D38</f>
        <v>10.714285714285714</v>
      </c>
      <c r="E39" s="11">
        <f>(((E40/12)^2)/4)*PI()</f>
        <v>12.566370614359172</v>
      </c>
      <c r="F39" s="2"/>
      <c r="G39" s="9"/>
      <c r="H39" s="5">
        <f>H37/H38</f>
        <v>15.6</v>
      </c>
      <c r="I39" s="5">
        <f>H37/I38</f>
        <v>11.142857142857142</v>
      </c>
      <c r="J39" s="11">
        <f>(((J40/12)^2)/4)*PI()</f>
        <v>13.09542354386995</v>
      </c>
      <c r="L39" s="9"/>
      <c r="M39" s="5">
        <f>M37/M38</f>
        <v>16.2</v>
      </c>
      <c r="N39" s="5">
        <f>M37/N38</f>
        <v>11.571428571428571</v>
      </c>
      <c r="O39" s="11">
        <f>(((O40/12)^2)/4)*PI()</f>
        <v>13.635384781205701</v>
      </c>
      <c r="Q39" s="9"/>
      <c r="R39" s="5">
        <f>R37/R38</f>
        <v>16.8</v>
      </c>
      <c r="S39" s="5">
        <f>R37/S38</f>
        <v>12</v>
      </c>
      <c r="T39" s="11">
        <f>(((T40/12)^2)/4)*PI()</f>
        <v>14.186254326366409</v>
      </c>
    </row>
    <row r="40" spans="2:23" ht="15.75" thickBot="1" x14ac:dyDescent="0.3">
      <c r="B40" s="12"/>
      <c r="C40" s="13">
        <f>SQRT(4*C39/(PI()))*12</f>
        <v>52.442324668419801</v>
      </c>
      <c r="D40" s="13">
        <f>SQRT(4*D39/(PI()))*12</f>
        <v>44.321853821369231</v>
      </c>
      <c r="E40" s="14">
        <f>ROUNDDOWN(AVERAGE(C40:D40),0)</f>
        <v>48</v>
      </c>
      <c r="F40" s="2"/>
      <c r="G40" s="12"/>
      <c r="H40" s="13">
        <f>SQRT(4*H39/(PI()))*12</f>
        <v>53.480887364488169</v>
      </c>
      <c r="I40" s="13">
        <f>SQRT(4*I39/(PI()))*12</f>
        <v>45.199599502753728</v>
      </c>
      <c r="J40" s="14">
        <f>ROUNDDOWN(AVERAGE(H40:I40),0)</f>
        <v>49</v>
      </c>
      <c r="L40" s="12"/>
      <c r="M40" s="13">
        <f>SQRT(4*M39/(PI()))*12</f>
        <v>54.499662475635461</v>
      </c>
      <c r="N40" s="13">
        <f>SQRT(4*N39/(PI()))*12</f>
        <v>46.060621622551388</v>
      </c>
      <c r="O40" s="14">
        <f>ROUNDDOWN(AVERAGE(M40:N40),0)</f>
        <v>50</v>
      </c>
      <c r="Q40" s="12"/>
      <c r="R40" s="13">
        <f>SQRT(4*R39/(PI()))*12</f>
        <v>55.499739698698647</v>
      </c>
      <c r="S40" s="13">
        <f>SQRT(4*S39/(PI()))*12</f>
        <v>46.905841142680316</v>
      </c>
      <c r="T40" s="14">
        <f>ROUNDDOWN(AVERAGE(R40:S40),0)</f>
        <v>51</v>
      </c>
    </row>
    <row r="41" spans="2:23" ht="15.75" thickBot="1" x14ac:dyDescent="0.3"/>
    <row r="42" spans="2:23" x14ac:dyDescent="0.25">
      <c r="B42" s="6" t="s">
        <v>57</v>
      </c>
      <c r="C42" s="7">
        <f>W29</f>
        <v>43500</v>
      </c>
      <c r="D42" s="7"/>
      <c r="E42" s="8"/>
      <c r="F42" s="1"/>
      <c r="G42" s="6" t="s">
        <v>58</v>
      </c>
      <c r="H42" s="7">
        <f>W30</f>
        <v>45000</v>
      </c>
      <c r="I42" s="7"/>
      <c r="J42" s="8"/>
      <c r="L42" s="6" t="s">
        <v>59</v>
      </c>
      <c r="M42" s="7">
        <f>W31</f>
        <v>46500</v>
      </c>
      <c r="N42" s="7"/>
      <c r="O42" s="8"/>
      <c r="Q42" s="6" t="s">
        <v>60</v>
      </c>
      <c r="R42" s="7">
        <f>W32</f>
        <v>48000</v>
      </c>
      <c r="S42" s="7"/>
      <c r="T42" s="8"/>
    </row>
    <row r="43" spans="2:23" x14ac:dyDescent="0.25">
      <c r="B43" s="9" t="s">
        <v>2</v>
      </c>
      <c r="C43" s="4">
        <f>$C$4</f>
        <v>2500</v>
      </c>
      <c r="D43" s="4">
        <f>$C$5</f>
        <v>3500</v>
      </c>
      <c r="E43" s="10">
        <f>C42/E44</f>
        <v>2949.5460459397414</v>
      </c>
      <c r="F43" s="1"/>
      <c r="G43" s="9" t="s">
        <v>2</v>
      </c>
      <c r="H43" s="4">
        <f>$C$4</f>
        <v>2500</v>
      </c>
      <c r="I43" s="4">
        <f>$C$5</f>
        <v>3500</v>
      </c>
      <c r="J43" s="10">
        <f>H42/J44</f>
        <v>3051.254530282491</v>
      </c>
      <c r="L43" s="9" t="s">
        <v>2</v>
      </c>
      <c r="M43" s="4">
        <f>$C$4</f>
        <v>2500</v>
      </c>
      <c r="N43" s="4">
        <f>$C$5</f>
        <v>3500</v>
      </c>
      <c r="O43" s="10">
        <f>M42/O44</f>
        <v>3035.1057285676925</v>
      </c>
      <c r="Q43" s="9" t="s">
        <v>2</v>
      </c>
      <c r="R43" s="4">
        <f>$C$4</f>
        <v>2500</v>
      </c>
      <c r="S43" s="4">
        <f>$C$5</f>
        <v>3500</v>
      </c>
      <c r="T43" s="10">
        <f>R42/T44</f>
        <v>3018.0492912240898</v>
      </c>
    </row>
    <row r="44" spans="2:23" x14ac:dyDescent="0.25">
      <c r="B44" s="9"/>
      <c r="C44" s="5">
        <f>C42/C43</f>
        <v>17.399999999999999</v>
      </c>
      <c r="D44" s="5">
        <f>C42/D43</f>
        <v>12.428571428571429</v>
      </c>
      <c r="E44" s="11">
        <f>(((E45/12)^2)/4)*PI()</f>
        <v>14.748032179352082</v>
      </c>
      <c r="F44" s="2"/>
      <c r="G44" s="9"/>
      <c r="H44" s="5">
        <f>H42/H43</f>
        <v>18</v>
      </c>
      <c r="I44" s="5">
        <f>H42/I43</f>
        <v>12.857142857142858</v>
      </c>
      <c r="J44" s="11">
        <f>(((J45/12)^2)/4)*PI()</f>
        <v>14.748032179352082</v>
      </c>
      <c r="L44" s="9"/>
      <c r="M44" s="5">
        <f>M42/M43</f>
        <v>18.600000000000001</v>
      </c>
      <c r="N44" s="5">
        <f>M42/N43</f>
        <v>13.285714285714286</v>
      </c>
      <c r="O44" s="11">
        <f>(((O45/12)^2)/4)*PI()</f>
        <v>15.320718340162726</v>
      </c>
      <c r="Q44" s="9"/>
      <c r="R44" s="5">
        <f>R42/R43</f>
        <v>19.2</v>
      </c>
      <c r="S44" s="5">
        <f>R42/S43</f>
        <v>13.714285714285714</v>
      </c>
      <c r="T44" s="11">
        <f>(((T45/12)^2)/4)*PI()</f>
        <v>15.904312808798327</v>
      </c>
    </row>
    <row r="45" spans="2:23" ht="15.75" thickBot="1" x14ac:dyDescent="0.3">
      <c r="B45" s="12"/>
      <c r="C45" s="13">
        <f>SQRT(4*C44/(PI()))*12</f>
        <v>56.482112241739188</v>
      </c>
      <c r="D45" s="13">
        <f>SQRT(4*D44/(PI()))*12</f>
        <v>47.736097477159511</v>
      </c>
      <c r="E45" s="14">
        <f>ROUNDDOWN(AVERAGE(C45:D45),0)</f>
        <v>52</v>
      </c>
      <c r="F45" s="2"/>
      <c r="G45" s="12"/>
      <c r="H45" s="13">
        <f>SQRT(4*H44/(PI()))*12</f>
        <v>57.447688377806301</v>
      </c>
      <c r="I45" s="13">
        <f>SQRT(4*I44/(PI()))*12</f>
        <v>48.552158256820952</v>
      </c>
      <c r="J45" s="14">
        <f>ROUNDDOWN(AVERAGE(H45:I45),0)</f>
        <v>52</v>
      </c>
      <c r="L45" s="12"/>
      <c r="M45" s="13">
        <f>SQRT(4*M44/(PI()))*12</f>
        <v>58.397301278557904</v>
      </c>
      <c r="N45" s="13">
        <f>SQRT(4*N44/(PI()))*12</f>
        <v>49.354727640236248</v>
      </c>
      <c r="O45" s="14">
        <f>ROUNDDOWN(AVERAGE(M45:N45),0)</f>
        <v>53</v>
      </c>
      <c r="Q45" s="12"/>
      <c r="R45" s="13">
        <f>SQRT(4*R44/(PI()))*12</f>
        <v>59.331717430761913</v>
      </c>
      <c r="S45" s="13">
        <f>SQRT(4*S44/(PI()))*12</f>
        <v>50.144453426958528</v>
      </c>
      <c r="T45" s="14">
        <f>ROUNDDOWN(AVERAGE(R45:S45),0)</f>
        <v>54</v>
      </c>
    </row>
    <row r="46" spans="2:23" ht="15.75" thickBot="1" x14ac:dyDescent="0.3"/>
    <row r="47" spans="2:23" x14ac:dyDescent="0.25">
      <c r="B47" s="6" t="s">
        <v>61</v>
      </c>
      <c r="C47" s="7">
        <f>W33</f>
        <v>49500</v>
      </c>
      <c r="D47" s="7"/>
      <c r="E47" s="8"/>
      <c r="F47" s="1"/>
      <c r="G47" s="6" t="s">
        <v>62</v>
      </c>
      <c r="H47" s="7">
        <f>W34</f>
        <v>51000</v>
      </c>
      <c r="I47" s="7"/>
      <c r="J47" s="8"/>
      <c r="L47" s="6" t="s">
        <v>63</v>
      </c>
      <c r="M47" s="7">
        <f>W35</f>
        <v>52500</v>
      </c>
      <c r="N47" s="7"/>
      <c r="O47" s="8"/>
      <c r="Q47" s="6" t="s">
        <v>64</v>
      </c>
      <c r="R47" s="7">
        <f>W36</f>
        <v>54000</v>
      </c>
      <c r="S47" s="7"/>
      <c r="T47" s="8"/>
    </row>
    <row r="48" spans="2:23" x14ac:dyDescent="0.25">
      <c r="B48" s="9" t="s">
        <v>2</v>
      </c>
      <c r="C48" s="4">
        <f>$C$4</f>
        <v>2500</v>
      </c>
      <c r="D48" s="4">
        <f>$C$5</f>
        <v>3500</v>
      </c>
      <c r="E48" s="10">
        <f>C47/E49</f>
        <v>3000.215363594129</v>
      </c>
      <c r="F48" s="1"/>
      <c r="G48" s="9" t="s">
        <v>2</v>
      </c>
      <c r="H48" s="4">
        <f>$C$4</f>
        <v>2500</v>
      </c>
      <c r="I48" s="4">
        <f>$C$5</f>
        <v>3500</v>
      </c>
      <c r="J48" s="10">
        <f>H47/J49</f>
        <v>2981.7191379257124</v>
      </c>
      <c r="L48" s="9" t="s">
        <v>2</v>
      </c>
      <c r="M48" s="4">
        <f>$C$4</f>
        <v>2500</v>
      </c>
      <c r="N48" s="4">
        <f>$C$5</f>
        <v>3500</v>
      </c>
      <c r="O48" s="10">
        <f>M47/O49</f>
        <v>2962.6626525693541</v>
      </c>
      <c r="Q48" s="9" t="s">
        <v>2</v>
      </c>
      <c r="R48" s="4">
        <f>$C$4</f>
        <v>2500</v>
      </c>
      <c r="S48" s="4">
        <f>$C$5</f>
        <v>3500</v>
      </c>
      <c r="T48" s="10">
        <f>R47/T49</f>
        <v>2943.1363554877012</v>
      </c>
    </row>
    <row r="49" spans="2:22" x14ac:dyDescent="0.25">
      <c r="B49" s="9"/>
      <c r="C49" s="5">
        <f>C47/C48</f>
        <v>19.8</v>
      </c>
      <c r="D49" s="5">
        <f>C47/D48</f>
        <v>14.142857142857142</v>
      </c>
      <c r="E49" s="11">
        <f>(((E50/12)^2)/4)*PI()</f>
        <v>16.498815585258896</v>
      </c>
      <c r="F49" s="2"/>
      <c r="G49" s="9"/>
      <c r="H49" s="5">
        <f>H47/H48</f>
        <v>20.399999999999999</v>
      </c>
      <c r="I49" s="5">
        <f>H47/I48</f>
        <v>14.571428571428571</v>
      </c>
      <c r="J49" s="11">
        <f>(((J50/12)^2)/4)*PI()</f>
        <v>17.104226669544431</v>
      </c>
      <c r="L49" s="9"/>
      <c r="M49" s="5">
        <f>M47/M48</f>
        <v>21</v>
      </c>
      <c r="N49" s="5">
        <f>M47/N48</f>
        <v>15</v>
      </c>
      <c r="O49" s="11">
        <f>(((O50/12)^2)/4)*PI()</f>
        <v>17.720546061654925</v>
      </c>
      <c r="Q49" s="9"/>
      <c r="R49" s="5">
        <f>R47/R48</f>
        <v>21.6</v>
      </c>
      <c r="S49" s="5">
        <f>R47/S48</f>
        <v>15.428571428571429</v>
      </c>
      <c r="T49" s="11">
        <f>(((T50/12)^2)/4)*PI()</f>
        <v>18.347773761590386</v>
      </c>
    </row>
    <row r="50" spans="2:22" ht="15.75" thickBot="1" x14ac:dyDescent="0.3">
      <c r="B50" s="12"/>
      <c r="C50" s="13">
        <f>SQRT(4*C49/(PI()))*12</f>
        <v>60.251643877564845</v>
      </c>
      <c r="D50" s="13">
        <f>SQRT(4*D49/(PI()))*12</f>
        <v>50.921933177511292</v>
      </c>
      <c r="E50" s="14">
        <f>ROUNDDOWN(AVERAGE(C50:D50),0)</f>
        <v>55</v>
      </c>
      <c r="F50" s="2"/>
      <c r="G50" s="12"/>
      <c r="H50" s="13">
        <f>SQRT(4*H49/(PI()))*12</f>
        <v>61.157734479082968</v>
      </c>
      <c r="I50" s="13">
        <f>SQRT(4*I49/(PI()))*12</f>
        <v>51.687719504553876</v>
      </c>
      <c r="J50" s="14">
        <f>ROUNDDOWN(AVERAGE(H50:I50),0)</f>
        <v>56</v>
      </c>
      <c r="L50" s="12"/>
      <c r="M50" s="13">
        <f>SQRT(4*M49/(PI()))*12</f>
        <v>62.050595349916932</v>
      </c>
      <c r="N50" s="13">
        <f>SQRT(4*N49/(PI()))*12</f>
        <v>52.442324668419801</v>
      </c>
      <c r="O50" s="14">
        <f>ROUNDDOWN(AVERAGE(M50:N50),0)</f>
        <v>57</v>
      </c>
      <c r="Q50" s="12"/>
      <c r="R50" s="13">
        <f>SQRT(4*R49/(PI()))*12</f>
        <v>62.930789602103758</v>
      </c>
      <c r="S50" s="13">
        <f>SQRT(4*S49/(PI()))*12</f>
        <v>53.186224585643082</v>
      </c>
      <c r="T50" s="14">
        <f>ROUNDDOWN(AVERAGE(R50:S50),0)</f>
        <v>58</v>
      </c>
    </row>
    <row r="51" spans="2:22" ht="15.75" thickBot="1" x14ac:dyDescent="0.3"/>
    <row r="52" spans="2:22" x14ac:dyDescent="0.25">
      <c r="B52" s="6" t="s">
        <v>65</v>
      </c>
      <c r="C52" s="7">
        <f>W37</f>
        <v>55500</v>
      </c>
      <c r="D52" s="7"/>
      <c r="E52" s="8"/>
      <c r="F52" s="1"/>
      <c r="G52" s="6" t="s">
        <v>66</v>
      </c>
      <c r="H52" s="7">
        <f>W38</f>
        <v>57000</v>
      </c>
      <c r="I52" s="7"/>
      <c r="J52" s="8"/>
      <c r="L52" s="34"/>
      <c r="M52" s="35"/>
      <c r="N52" s="35"/>
      <c r="O52" s="35"/>
      <c r="P52" s="34"/>
      <c r="Q52" s="34"/>
      <c r="R52" s="35"/>
      <c r="S52" s="35"/>
      <c r="T52" s="35"/>
    </row>
    <row r="53" spans="2:22" x14ac:dyDescent="0.25">
      <c r="B53" s="9" t="s">
        <v>2</v>
      </c>
      <c r="C53" s="4">
        <f>$C$4</f>
        <v>2500</v>
      </c>
      <c r="D53" s="4">
        <f>$C$5</f>
        <v>3500</v>
      </c>
      <c r="E53" s="10">
        <f>C52/E54</f>
        <v>3024.8901431401373</v>
      </c>
      <c r="F53" s="1"/>
      <c r="G53" s="9" t="s">
        <v>2</v>
      </c>
      <c r="H53" s="4">
        <f>$C$4</f>
        <v>2500</v>
      </c>
      <c r="I53" s="4">
        <f>$C$5</f>
        <v>3500</v>
      </c>
      <c r="J53" s="10">
        <f>H52/J54</f>
        <v>3002.2264243568557</v>
      </c>
      <c r="L53" s="34"/>
      <c r="M53" s="35"/>
      <c r="N53" s="35"/>
      <c r="O53" s="35"/>
      <c r="P53" s="34"/>
      <c r="Q53" s="34"/>
      <c r="R53" s="35"/>
      <c r="S53" s="35"/>
      <c r="T53" s="35"/>
    </row>
    <row r="54" spans="2:22" x14ac:dyDescent="0.25">
      <c r="B54" s="9"/>
      <c r="C54" s="5">
        <f>C52/C53</f>
        <v>22.2</v>
      </c>
      <c r="D54" s="5">
        <f>C52/D53</f>
        <v>15.857142857142858</v>
      </c>
      <c r="E54" s="11">
        <f>(((E55/12)^2)/4)*PI()</f>
        <v>18.347773761590386</v>
      </c>
      <c r="F54" s="2"/>
      <c r="G54" s="9"/>
      <c r="H54" s="5">
        <f>H52/H53</f>
        <v>22.8</v>
      </c>
      <c r="I54" s="5">
        <f>H52/I53</f>
        <v>16.285714285714285</v>
      </c>
      <c r="J54" s="11">
        <f>(((J55/12)^2)/4)*PI()</f>
        <v>18.985909769350819</v>
      </c>
      <c r="L54" s="34"/>
      <c r="M54" s="36"/>
      <c r="N54" s="36"/>
      <c r="O54" s="36"/>
      <c r="P54" s="34"/>
      <c r="Q54" s="34"/>
      <c r="R54" s="36"/>
      <c r="S54" s="36"/>
      <c r="T54" s="36"/>
    </row>
    <row r="55" spans="2:22" ht="15.75" thickBot="1" x14ac:dyDescent="0.3">
      <c r="B55" s="12"/>
      <c r="C55" s="13">
        <f>SQRT(4*C54/(PI()))*12</f>
        <v>63.79884149895959</v>
      </c>
      <c r="D55" s="13">
        <f>SQRT(4*D54/(PI()))*12</f>
        <v>53.919862339595952</v>
      </c>
      <c r="E55" s="14">
        <f>ROUNDDOWN(AVERAGE(C55:D55),0)</f>
        <v>58</v>
      </c>
      <c r="F55" s="2"/>
      <c r="G55" s="12"/>
      <c r="H55" s="13">
        <f>SQRT(4*H54/(PI()))*12</f>
        <v>64.655240106850471</v>
      </c>
      <c r="I55" s="13">
        <f>SQRT(4*I54/(PI()))*12</f>
        <v>54.6436512667985</v>
      </c>
      <c r="J55" s="14">
        <f>ROUNDDOWN(AVERAGE(H55:I55),0)</f>
        <v>59</v>
      </c>
      <c r="L55" s="34"/>
      <c r="M55" s="36"/>
      <c r="N55" s="36"/>
      <c r="O55" s="37"/>
      <c r="P55" s="34"/>
      <c r="Q55" s="34"/>
      <c r="R55" s="36"/>
      <c r="S55" s="36"/>
      <c r="T55" s="37"/>
    </row>
    <row r="56" spans="2:22" x14ac:dyDescent="0.25">
      <c r="L56" s="34"/>
      <c r="M56" s="34"/>
      <c r="N56" s="34"/>
      <c r="O56" s="34"/>
      <c r="P56" s="34"/>
      <c r="Q56" s="34"/>
      <c r="R56" s="34"/>
      <c r="S56" s="34"/>
      <c r="T56" s="34"/>
    </row>
    <row r="57" spans="2:22" x14ac:dyDescent="0.25">
      <c r="L57" s="34"/>
      <c r="M57" s="34"/>
      <c r="N57" s="34"/>
      <c r="O57" s="34"/>
      <c r="P57" s="34"/>
      <c r="Q57" s="34"/>
      <c r="R57" s="34"/>
      <c r="S57" s="34"/>
      <c r="T57" s="34"/>
    </row>
    <row r="62" spans="2:22" x14ac:dyDescent="0.25">
      <c r="U62" s="34"/>
      <c r="V62" s="34"/>
    </row>
    <row r="63" spans="2:22" x14ac:dyDescent="0.25">
      <c r="U63" s="34"/>
      <c r="V63" s="34"/>
    </row>
    <row r="64" spans="2:22" x14ac:dyDescent="0.25">
      <c r="U64" s="34"/>
      <c r="V64" s="34"/>
    </row>
    <row r="65" spans="21:22" x14ac:dyDescent="0.25">
      <c r="U65" s="34"/>
      <c r="V65" s="34"/>
    </row>
    <row r="66" spans="21:22" x14ac:dyDescent="0.25">
      <c r="U66" s="34"/>
      <c r="V66" s="34"/>
    </row>
    <row r="67" spans="21:22" x14ac:dyDescent="0.25">
      <c r="U67" s="34"/>
      <c r="V67" s="34"/>
    </row>
  </sheetData>
  <mergeCells count="1"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R29"/>
  <sheetViews>
    <sheetView workbookViewId="0">
      <selection activeCell="L11" sqref="L11"/>
    </sheetView>
  </sheetViews>
  <sheetFormatPr defaultRowHeight="15" x14ac:dyDescent="0.25"/>
  <cols>
    <col min="5" max="9" width="5.42578125" style="15" customWidth="1"/>
  </cols>
  <sheetData>
    <row r="1" spans="5:18" ht="15.75" thickBot="1" x14ac:dyDescent="0.3"/>
    <row r="2" spans="5:18" x14ac:dyDescent="0.25">
      <c r="E2" s="16" t="s">
        <v>23</v>
      </c>
      <c r="F2" s="17" t="s">
        <v>24</v>
      </c>
      <c r="G2" s="17" t="s">
        <v>25</v>
      </c>
      <c r="H2" s="17" t="s">
        <v>26</v>
      </c>
      <c r="I2" s="18" t="s">
        <v>27</v>
      </c>
      <c r="M2">
        <v>10700</v>
      </c>
    </row>
    <row r="3" spans="5:18" ht="15.75" thickBot="1" x14ac:dyDescent="0.3">
      <c r="E3" s="19">
        <v>38</v>
      </c>
      <c r="F3" s="20">
        <v>24</v>
      </c>
      <c r="G3" s="20">
        <v>24</v>
      </c>
      <c r="H3" s="21">
        <f>IF(E3&gt;((G3*2)+6),E3,((G3*2)+6))</f>
        <v>54</v>
      </c>
      <c r="I3" s="22">
        <f>IF(G3&gt;=19,14.5,IF(G3&lt;=12,8.5,11.5))</f>
        <v>14.5</v>
      </c>
      <c r="M3">
        <f>M2*0.65</f>
        <v>6955</v>
      </c>
    </row>
    <row r="4" spans="5:18" x14ac:dyDescent="0.25">
      <c r="J4">
        <f>45/2</f>
        <v>22.5</v>
      </c>
      <c r="M4">
        <f>M3/1.1</f>
        <v>6322.7272727272721</v>
      </c>
      <c r="N4">
        <f>M4*0.65</f>
        <v>4109.772727272727</v>
      </c>
      <c r="R4">
        <f>12*4.5</f>
        <v>54</v>
      </c>
    </row>
    <row r="5" spans="5:18" x14ac:dyDescent="0.25">
      <c r="J5">
        <f>90-J4</f>
        <v>67.5</v>
      </c>
      <c r="M5">
        <f>M4/0.65</f>
        <v>9727.2727272727261</v>
      </c>
      <c r="N5">
        <f>N4/0.65</f>
        <v>6322.7272727272721</v>
      </c>
    </row>
    <row r="10" spans="5:18" x14ac:dyDescent="0.25">
      <c r="E10" s="15">
        <v>24</v>
      </c>
      <c r="F10" s="15">
        <v>36</v>
      </c>
      <c r="G10" s="15">
        <f>F10*E10</f>
        <v>864</v>
      </c>
      <c r="H10" s="15">
        <f>G10/144</f>
        <v>6</v>
      </c>
      <c r="I10" s="15">
        <f>H10*250</f>
        <v>1500</v>
      </c>
    </row>
    <row r="29" ht="17.25" customHeigh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workbookViewId="0">
      <selection activeCell="G19" sqref="G19"/>
    </sheetView>
  </sheetViews>
  <sheetFormatPr defaultRowHeight="15" x14ac:dyDescent="0.25"/>
  <cols>
    <col min="1" max="1" width="9.140625" customWidth="1"/>
    <col min="2" max="2" width="18.5703125" bestFit="1" customWidth="1"/>
    <col min="3" max="4" width="5" bestFit="1" customWidth="1"/>
  </cols>
  <sheetData>
    <row r="1" spans="2:5" ht="15.75" thickBot="1" x14ac:dyDescent="0.3"/>
    <row r="2" spans="2:5" x14ac:dyDescent="0.25">
      <c r="B2" s="6" t="s">
        <v>40</v>
      </c>
      <c r="C2" s="27">
        <v>15</v>
      </c>
      <c r="D2" s="28" t="s">
        <v>46</v>
      </c>
      <c r="E2" s="45" t="s">
        <v>49</v>
      </c>
    </row>
    <row r="3" spans="2:5" x14ac:dyDescent="0.25">
      <c r="B3" s="9" t="s">
        <v>41</v>
      </c>
      <c r="C3" s="24">
        <v>24</v>
      </c>
      <c r="D3" s="29" t="s">
        <v>46</v>
      </c>
      <c r="E3" s="46"/>
    </row>
    <row r="4" spans="2:5" x14ac:dyDescent="0.25">
      <c r="B4" s="9" t="s">
        <v>42</v>
      </c>
      <c r="C4" s="24">
        <v>16</v>
      </c>
      <c r="D4" s="29" t="s">
        <v>46</v>
      </c>
      <c r="E4" s="46"/>
    </row>
    <row r="5" spans="2:5" x14ac:dyDescent="0.25">
      <c r="B5" s="9" t="s">
        <v>43</v>
      </c>
      <c r="C5" s="24">
        <v>6</v>
      </c>
      <c r="D5" s="29"/>
      <c r="E5" s="25" t="s">
        <v>47</v>
      </c>
    </row>
    <row r="6" spans="2:5" ht="15.75" thickBot="1" x14ac:dyDescent="0.3">
      <c r="B6" s="30" t="s">
        <v>45</v>
      </c>
      <c r="C6" s="31">
        <f>C3*C4*C2*C5/60</f>
        <v>576</v>
      </c>
      <c r="D6" s="32" t="s">
        <v>44</v>
      </c>
      <c r="E6" s="26" t="s">
        <v>48</v>
      </c>
    </row>
    <row r="7" spans="2:5" x14ac:dyDescent="0.25">
      <c r="E7" s="23"/>
    </row>
  </sheetData>
  <mergeCells count="1">
    <mergeCell ref="E2:E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topLeftCell="L1" workbookViewId="0">
      <selection activeCell="U6" sqref="U6:U9"/>
    </sheetView>
  </sheetViews>
  <sheetFormatPr defaultRowHeight="15" x14ac:dyDescent="0.25"/>
  <cols>
    <col min="1" max="1" width="13.85546875" bestFit="1" customWidth="1"/>
    <col min="4" max="4" width="9.140625" customWidth="1"/>
    <col min="6" max="6" width="9.140625" customWidth="1"/>
    <col min="17" max="46" width="9.140625" customWidth="1"/>
  </cols>
  <sheetData>
    <row r="1" spans="1:37" x14ac:dyDescent="0.25">
      <c r="B1" s="33" t="s">
        <v>44</v>
      </c>
      <c r="D1" s="44">
        <v>2200</v>
      </c>
      <c r="E1" s="44"/>
      <c r="F1" s="44">
        <v>3000</v>
      </c>
      <c r="G1" s="44"/>
      <c r="K1" s="44">
        <v>2200</v>
      </c>
      <c r="L1" s="44"/>
      <c r="M1" s="44">
        <v>3000</v>
      </c>
      <c r="N1" s="44"/>
      <c r="R1" s="44">
        <v>2200</v>
      </c>
      <c r="S1" s="44"/>
      <c r="T1" s="44">
        <v>3000</v>
      </c>
      <c r="U1" s="44"/>
    </row>
    <row r="2" spans="1:37" x14ac:dyDescent="0.25">
      <c r="A2" s="47" t="s">
        <v>50</v>
      </c>
      <c r="B2">
        <v>1000</v>
      </c>
      <c r="C2">
        <f t="shared" ref="C2:C9" si="0">B2*$B$11/$B$10</f>
        <v>1119.047619047619</v>
      </c>
      <c r="D2">
        <f>C2/$D$1</f>
        <v>0.5086580086580087</v>
      </c>
      <c r="E2">
        <f>SQRT(4*D2/(PI()))*12</f>
        <v>9.6571560387737811</v>
      </c>
      <c r="F2">
        <f>C2/$F$1</f>
        <v>0.37301587301587302</v>
      </c>
      <c r="G2">
        <f>SQRT(4*F2/(PI()))*12</f>
        <v>8.2698943577673099</v>
      </c>
      <c r="H2">
        <v>8</v>
      </c>
      <c r="I2">
        <f>C2/((((H2/12)^2)/4)*PI())</f>
        <v>3205.8352822796064</v>
      </c>
      <c r="J2" s="47">
        <f>SUM(C2:C3)</f>
        <v>1398.8095238095239</v>
      </c>
      <c r="K2" s="47">
        <f>J2/$K$1</f>
        <v>0.63582251082251084</v>
      </c>
      <c r="L2" s="47">
        <f t="shared" ref="L2:L8" si="1">SQRT(4*K2/(PI()))*12</f>
        <v>10.797028686010385</v>
      </c>
      <c r="M2" s="47">
        <f>J2/$M$1</f>
        <v>0.46626984126984128</v>
      </c>
      <c r="N2" s="47">
        <f t="shared" ref="N2:N8" si="2">SQRT(4*M2/(PI()))*12</f>
        <v>9.2460229753548369</v>
      </c>
      <c r="O2" s="47">
        <v>10</v>
      </c>
      <c r="P2" s="47">
        <f>J2/((((O2/12)^2)/4)*PI())</f>
        <v>2564.6682258236847</v>
      </c>
      <c r="Q2" s="47">
        <f>SUM(J2:J5)</f>
        <v>2797.6190476190477</v>
      </c>
      <c r="R2" s="47">
        <f t="shared" ref="R2" si="3">Q2/$K$1</f>
        <v>1.2716450216450217</v>
      </c>
      <c r="S2" s="47">
        <f t="shared" ref="S2" si="4">SQRT(4*R2/(PI()))*12</f>
        <v>15.269304401087243</v>
      </c>
      <c r="T2" s="47">
        <f t="shared" ref="T2" si="5">Q2/$M$1</f>
        <v>0.93253968253968256</v>
      </c>
      <c r="U2" s="47">
        <f t="shared" ref="U2" si="6">SQRT(4*T2/(PI()))*12</f>
        <v>13.075851089760047</v>
      </c>
      <c r="V2" s="47">
        <v>12</v>
      </c>
      <c r="W2" s="47">
        <f t="shared" ref="W2" si="7">Q2/((((V2/12)^2)/4)*PI())</f>
        <v>3562.0392025328961</v>
      </c>
    </row>
    <row r="3" spans="1:37" x14ac:dyDescent="0.25">
      <c r="A3" s="47"/>
      <c r="B3">
        <v>250</v>
      </c>
      <c r="C3">
        <f t="shared" si="0"/>
        <v>279.76190476190476</v>
      </c>
      <c r="D3">
        <f t="shared" ref="D3:D9" si="8">C3/$D$1</f>
        <v>0.12716450216450217</v>
      </c>
      <c r="E3">
        <f t="shared" ref="E3:E9" si="9">SQRT(4*D3/(PI()))*12</f>
        <v>4.8285780193868906</v>
      </c>
      <c r="F3">
        <f t="shared" ref="F3:F9" si="10">C3/$F$1</f>
        <v>9.3253968253968256E-2</v>
      </c>
      <c r="G3">
        <f t="shared" ref="G3:G9" si="11">SQRT(4*F3/(PI()))*12</f>
        <v>4.1349471788836549</v>
      </c>
      <c r="H3">
        <v>4</v>
      </c>
      <c r="I3">
        <f t="shared" ref="I3:I9" si="12">C3/((((H3/12)^2)/4)*PI())</f>
        <v>3205.8352822796064</v>
      </c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Y3" s="44">
        <v>2200</v>
      </c>
      <c r="Z3" s="44"/>
      <c r="AA3" s="44">
        <v>3000</v>
      </c>
      <c r="AB3" s="44"/>
    </row>
    <row r="4" spans="1:37" x14ac:dyDescent="0.25">
      <c r="A4" s="47" t="s">
        <v>50</v>
      </c>
      <c r="B4">
        <v>1000</v>
      </c>
      <c r="C4">
        <f t="shared" si="0"/>
        <v>1119.047619047619</v>
      </c>
      <c r="D4">
        <f t="shared" si="8"/>
        <v>0.5086580086580087</v>
      </c>
      <c r="E4">
        <f t="shared" si="9"/>
        <v>9.6571560387737811</v>
      </c>
      <c r="F4">
        <f t="shared" si="10"/>
        <v>0.37301587301587302</v>
      </c>
      <c r="G4">
        <f t="shared" si="11"/>
        <v>8.2698943577673099</v>
      </c>
      <c r="H4">
        <v>8</v>
      </c>
      <c r="I4">
        <f t="shared" si="12"/>
        <v>3205.8352822796064</v>
      </c>
      <c r="J4" s="47">
        <f>SUM(C4:C5)</f>
        <v>1398.8095238095239</v>
      </c>
      <c r="K4" s="47">
        <f>J4/$K$1</f>
        <v>0.63582251082251084</v>
      </c>
      <c r="L4" s="47">
        <f t="shared" si="1"/>
        <v>10.797028686010385</v>
      </c>
      <c r="M4" s="47">
        <f>J4/$M$1</f>
        <v>0.46626984126984128</v>
      </c>
      <c r="N4" s="47">
        <f t="shared" si="2"/>
        <v>9.2460229753548369</v>
      </c>
      <c r="O4" s="47">
        <v>10</v>
      </c>
      <c r="P4" s="47">
        <f>J4/((((O4/12)^2)/4)*PI())</f>
        <v>2564.6682258236847</v>
      </c>
      <c r="Q4" s="47"/>
      <c r="R4" s="47"/>
      <c r="S4" s="47"/>
      <c r="T4" s="47"/>
      <c r="U4" s="47"/>
      <c r="V4" s="47"/>
      <c r="W4" s="47"/>
      <c r="X4" s="47">
        <f>SUM(Q2:Q9)</f>
        <v>4700</v>
      </c>
      <c r="Y4" s="47">
        <f t="shared" ref="Y4" si="13">X4/$K$1</f>
        <v>2.1363636363636362</v>
      </c>
      <c r="Z4" s="47">
        <f t="shared" ref="Z4" si="14">SQRT(4*Y4/(PI()))*12</f>
        <v>19.791280493700871</v>
      </c>
      <c r="AA4" s="47">
        <f t="shared" ref="AA4" si="15">X4/$M$1</f>
        <v>1.5666666666666667</v>
      </c>
      <c r="AB4" s="47">
        <f t="shared" ref="AB4" si="16">SQRT(4*AA4/(PI()))*12</f>
        <v>16.94824006474574</v>
      </c>
      <c r="AC4" s="47">
        <v>12</v>
      </c>
      <c r="AD4" s="47">
        <f t="shared" ref="AD4" si="17">X4/((((AC4/12)^2)/4)*PI())</f>
        <v>5984.2258602552647</v>
      </c>
    </row>
    <row r="5" spans="1:37" x14ac:dyDescent="0.25">
      <c r="A5" s="47"/>
      <c r="B5">
        <v>250</v>
      </c>
      <c r="C5">
        <f t="shared" si="0"/>
        <v>279.76190476190476</v>
      </c>
      <c r="D5">
        <f t="shared" si="8"/>
        <v>0.12716450216450217</v>
      </c>
      <c r="E5">
        <f t="shared" si="9"/>
        <v>4.8285780193868906</v>
      </c>
      <c r="F5">
        <f t="shared" si="10"/>
        <v>9.3253968253968256E-2</v>
      </c>
      <c r="G5">
        <f t="shared" si="11"/>
        <v>4.1349471788836549</v>
      </c>
      <c r="H5">
        <v>4</v>
      </c>
      <c r="I5">
        <f t="shared" si="12"/>
        <v>3205.8352822796064</v>
      </c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F5" s="44">
        <v>2200</v>
      </c>
      <c r="AG5" s="44"/>
      <c r="AH5" s="44">
        <v>3000</v>
      </c>
      <c r="AI5" s="44"/>
    </row>
    <row r="6" spans="1:37" x14ac:dyDescent="0.25">
      <c r="A6" s="47" t="s">
        <v>50</v>
      </c>
      <c r="B6">
        <v>600</v>
      </c>
      <c r="C6">
        <f t="shared" si="0"/>
        <v>671.42857142857144</v>
      </c>
      <c r="D6">
        <f t="shared" si="8"/>
        <v>0.30519480519480519</v>
      </c>
      <c r="E6">
        <f t="shared" si="9"/>
        <v>7.480400901979448</v>
      </c>
      <c r="F6">
        <f t="shared" si="10"/>
        <v>0.22380952380952382</v>
      </c>
      <c r="G6">
        <f t="shared" si="11"/>
        <v>6.4058326245054946</v>
      </c>
      <c r="H6">
        <v>6</v>
      </c>
      <c r="I6">
        <f t="shared" si="12"/>
        <v>3419.55763443158</v>
      </c>
      <c r="J6" s="47">
        <f>SUM(C6:C7)</f>
        <v>951.19047619047615</v>
      </c>
      <c r="K6" s="47">
        <f>J6/$K$1</f>
        <v>0.43235930735930733</v>
      </c>
      <c r="L6" s="47">
        <f t="shared" si="1"/>
        <v>8.9034579430489345</v>
      </c>
      <c r="M6" s="47">
        <f>J6/$M$1</f>
        <v>0.31706349206349205</v>
      </c>
      <c r="N6" s="47">
        <f t="shared" si="2"/>
        <v>7.6244658688551326</v>
      </c>
      <c r="O6" s="47">
        <v>8</v>
      </c>
      <c r="P6" s="47">
        <f>J6/((((O6/12)^2)/4)*PI())</f>
        <v>2724.9599899376653</v>
      </c>
      <c r="Q6" s="47">
        <f>SUM(J6:J9)</f>
        <v>1902.3809523809523</v>
      </c>
      <c r="R6" s="47">
        <f t="shared" ref="R6" si="18">Q6/$K$1</f>
        <v>0.86471861471861466</v>
      </c>
      <c r="S6" s="47">
        <f t="shared" ref="S6" si="19">SQRT(4*R6/(PI()))*12</f>
        <v>12.591390975078262</v>
      </c>
      <c r="T6" s="47">
        <f t="shared" ref="T6" si="20">Q6/$M$1</f>
        <v>0.63412698412698409</v>
      </c>
      <c r="U6" s="47">
        <f t="shared" ref="U6" si="21">SQRT(4*T6/(PI()))*12</f>
        <v>10.782623037585694</v>
      </c>
      <c r="V6" s="47">
        <v>12</v>
      </c>
      <c r="W6" s="47">
        <f t="shared" ref="W6" si="22">Q6/((((V6/12)^2)/4)*PI())</f>
        <v>2422.1866577223691</v>
      </c>
      <c r="X6" s="47"/>
      <c r="Y6" s="47"/>
      <c r="Z6" s="47"/>
      <c r="AA6" s="47"/>
      <c r="AB6" s="47"/>
      <c r="AC6" s="47"/>
      <c r="AD6" s="47"/>
      <c r="AE6" s="47">
        <f>X4+J8</f>
        <v>5651.1904761904761</v>
      </c>
      <c r="AF6" s="47">
        <f t="shared" ref="AF6" si="23">AE6/$K$1</f>
        <v>2.5687229437229435</v>
      </c>
      <c r="AG6" s="47">
        <f t="shared" ref="AG6" si="24">SQRT(4*AF6/(PI()))*12</f>
        <v>21.701759074415737</v>
      </c>
      <c r="AH6" s="47">
        <f t="shared" ref="AH6" si="25">AE6/$M$1</f>
        <v>1.8837301587301587</v>
      </c>
      <c r="AI6" s="47">
        <f t="shared" ref="AI6" si="26">SQRT(4*AH6/(PI()))*12</f>
        <v>18.584276178468443</v>
      </c>
      <c r="AJ6" s="47">
        <v>12</v>
      </c>
      <c r="AK6" s="47">
        <f t="shared" ref="AK6" si="27">AE6/((((AJ6/12)^2)/4)*PI())</f>
        <v>7195.3191891164497</v>
      </c>
    </row>
    <row r="7" spans="1:37" x14ac:dyDescent="0.25">
      <c r="A7" s="47"/>
      <c r="B7">
        <v>250</v>
      </c>
      <c r="C7">
        <f t="shared" si="0"/>
        <v>279.76190476190476</v>
      </c>
      <c r="D7">
        <f t="shared" si="8"/>
        <v>0.12716450216450217</v>
      </c>
      <c r="E7">
        <f t="shared" si="9"/>
        <v>4.8285780193868906</v>
      </c>
      <c r="F7">
        <f t="shared" si="10"/>
        <v>9.3253968253968256E-2</v>
      </c>
      <c r="G7">
        <f t="shared" si="11"/>
        <v>4.1349471788836549</v>
      </c>
      <c r="H7">
        <v>4</v>
      </c>
      <c r="I7">
        <f t="shared" si="12"/>
        <v>3205.8352822796064</v>
      </c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</row>
    <row r="8" spans="1:37" x14ac:dyDescent="0.25">
      <c r="A8" s="47" t="s">
        <v>50</v>
      </c>
      <c r="B8">
        <v>600</v>
      </c>
      <c r="C8">
        <f t="shared" si="0"/>
        <v>671.42857142857144</v>
      </c>
      <c r="D8">
        <f t="shared" si="8"/>
        <v>0.30519480519480519</v>
      </c>
      <c r="E8">
        <f t="shared" si="9"/>
        <v>7.480400901979448</v>
      </c>
      <c r="F8">
        <f t="shared" si="10"/>
        <v>0.22380952380952382</v>
      </c>
      <c r="G8">
        <f t="shared" si="11"/>
        <v>6.4058326245054946</v>
      </c>
      <c r="H8">
        <v>6</v>
      </c>
      <c r="I8">
        <f t="shared" si="12"/>
        <v>3419.55763443158</v>
      </c>
      <c r="J8" s="47">
        <f>SUM(C8:C9)</f>
        <v>951.19047619047615</v>
      </c>
      <c r="K8" s="47">
        <f>J8/$K$1</f>
        <v>0.43235930735930733</v>
      </c>
      <c r="L8" s="47">
        <f t="shared" si="1"/>
        <v>8.9034579430489345</v>
      </c>
      <c r="M8" s="47">
        <f>J8/$M$1</f>
        <v>0.31706349206349205</v>
      </c>
      <c r="N8" s="47">
        <f t="shared" si="2"/>
        <v>7.6244658688551326</v>
      </c>
      <c r="O8" s="47">
        <v>8</v>
      </c>
      <c r="P8" s="47">
        <f>J8/((((O8/12)^2)/4)*PI())</f>
        <v>2724.9599899376653</v>
      </c>
      <c r="Q8" s="47"/>
      <c r="R8" s="47"/>
      <c r="S8" s="47"/>
      <c r="T8" s="47"/>
      <c r="U8" s="47"/>
      <c r="V8" s="47"/>
      <c r="W8" s="47"/>
      <c r="AE8" s="47"/>
      <c r="AF8" s="47"/>
      <c r="AG8" s="47"/>
      <c r="AH8" s="47"/>
      <c r="AI8" s="47"/>
      <c r="AJ8" s="47"/>
      <c r="AK8" s="47"/>
    </row>
    <row r="9" spans="1:37" x14ac:dyDescent="0.25">
      <c r="A9" s="47"/>
      <c r="B9">
        <v>250</v>
      </c>
      <c r="C9">
        <f t="shared" si="0"/>
        <v>279.76190476190476</v>
      </c>
      <c r="D9">
        <f t="shared" si="8"/>
        <v>0.12716450216450217</v>
      </c>
      <c r="E9">
        <f t="shared" si="9"/>
        <v>4.8285780193868906</v>
      </c>
      <c r="F9">
        <f t="shared" si="10"/>
        <v>9.3253968253968256E-2</v>
      </c>
      <c r="G9">
        <f t="shared" si="11"/>
        <v>4.1349471788836549</v>
      </c>
      <c r="H9">
        <v>4</v>
      </c>
      <c r="I9">
        <f t="shared" si="12"/>
        <v>3205.8352822796064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AE9" s="47"/>
      <c r="AF9" s="47"/>
      <c r="AG9" s="47"/>
      <c r="AH9" s="47"/>
      <c r="AI9" s="47"/>
      <c r="AJ9" s="47"/>
      <c r="AK9" s="47"/>
    </row>
    <row r="10" spans="1:37" x14ac:dyDescent="0.25">
      <c r="A10" t="s">
        <v>51</v>
      </c>
      <c r="B10">
        <v>2100</v>
      </c>
    </row>
    <row r="11" spans="1:37" x14ac:dyDescent="0.25">
      <c r="A11" t="s">
        <v>52</v>
      </c>
      <c r="B11">
        <v>2350</v>
      </c>
      <c r="G11">
        <f>150*0.04</f>
        <v>6</v>
      </c>
    </row>
  </sheetData>
  <mergeCells count="70">
    <mergeCell ref="U6:U9"/>
    <mergeCell ref="L6:L7"/>
    <mergeCell ref="Q6:Q9"/>
    <mergeCell ref="R6:R9"/>
    <mergeCell ref="S6:S9"/>
    <mergeCell ref="T6:T9"/>
    <mergeCell ref="Q2:Q5"/>
    <mergeCell ref="R2:R5"/>
    <mergeCell ref="M1:N1"/>
    <mergeCell ref="L2:L3"/>
    <mergeCell ref="M2:M3"/>
    <mergeCell ref="N2:N3"/>
    <mergeCell ref="O2:O3"/>
    <mergeCell ref="D1:E1"/>
    <mergeCell ref="F1:G1"/>
    <mergeCell ref="K1:L1"/>
    <mergeCell ref="J2:J3"/>
    <mergeCell ref="K2:K3"/>
    <mergeCell ref="A2:A3"/>
    <mergeCell ref="A4:A5"/>
    <mergeCell ref="A6:A7"/>
    <mergeCell ref="A8:A9"/>
    <mergeCell ref="K6:K7"/>
    <mergeCell ref="J4:J5"/>
    <mergeCell ref="K4:K5"/>
    <mergeCell ref="J6:J7"/>
    <mergeCell ref="M6:M7"/>
    <mergeCell ref="N6:N7"/>
    <mergeCell ref="O6:O7"/>
    <mergeCell ref="P6:P7"/>
    <mergeCell ref="P2:P3"/>
    <mergeCell ref="L4:L5"/>
    <mergeCell ref="M4:M5"/>
    <mergeCell ref="N4:N5"/>
    <mergeCell ref="O4:O5"/>
    <mergeCell ref="P4:P5"/>
    <mergeCell ref="P8:P9"/>
    <mergeCell ref="J8:J9"/>
    <mergeCell ref="K8:K9"/>
    <mergeCell ref="L8:L9"/>
    <mergeCell ref="M8:M9"/>
    <mergeCell ref="N8:N9"/>
    <mergeCell ref="O8:O9"/>
    <mergeCell ref="R1:S1"/>
    <mergeCell ref="T1:U1"/>
    <mergeCell ref="Y3:Z3"/>
    <mergeCell ref="AA3:AB3"/>
    <mergeCell ref="X4:X7"/>
    <mergeCell ref="Y4:Y7"/>
    <mergeCell ref="Z4:Z7"/>
    <mergeCell ref="AA4:AA7"/>
    <mergeCell ref="AB4:AB7"/>
    <mergeCell ref="W2:W5"/>
    <mergeCell ref="S2:S5"/>
    <mergeCell ref="T2:T5"/>
    <mergeCell ref="U2:U5"/>
    <mergeCell ref="V2:V5"/>
    <mergeCell ref="V6:V9"/>
    <mergeCell ref="W6:W9"/>
    <mergeCell ref="AJ6:AJ9"/>
    <mergeCell ref="AK6:AK9"/>
    <mergeCell ref="AC4:AC7"/>
    <mergeCell ref="AD4:AD7"/>
    <mergeCell ref="AF5:AG5"/>
    <mergeCell ref="AH5:AI5"/>
    <mergeCell ref="AE6:AE9"/>
    <mergeCell ref="AF6:AF9"/>
    <mergeCell ref="AG6:AG9"/>
    <mergeCell ref="AH6:AH9"/>
    <mergeCell ref="AI6:AI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9"/>
  <sheetViews>
    <sheetView workbookViewId="0">
      <selection activeCell="C7" sqref="C7"/>
    </sheetView>
  </sheetViews>
  <sheetFormatPr defaultRowHeight="15" x14ac:dyDescent="0.25"/>
  <cols>
    <col min="1" max="1" width="8.85546875" bestFit="1" customWidth="1"/>
    <col min="2" max="2" width="6" bestFit="1" customWidth="1"/>
    <col min="3" max="3" width="5" bestFit="1" customWidth="1"/>
    <col min="4" max="4" width="5.5703125" bestFit="1" customWidth="1"/>
    <col min="5" max="5" width="4.5703125" bestFit="1" customWidth="1"/>
    <col min="6" max="6" width="5.5703125" bestFit="1" customWidth="1"/>
    <col min="7" max="7" width="4.5703125" bestFit="1" customWidth="1"/>
    <col min="8" max="8" width="3" bestFit="1" customWidth="1"/>
    <col min="9" max="10" width="5" bestFit="1" customWidth="1"/>
    <col min="11" max="11" width="5.5703125" bestFit="1" customWidth="1"/>
    <col min="12" max="12" width="3" bestFit="1" customWidth="1"/>
    <col min="13" max="13" width="5.5703125" bestFit="1" customWidth="1"/>
    <col min="14" max="14" width="3" bestFit="1" customWidth="1"/>
    <col min="15" max="15" width="3" customWidth="1"/>
    <col min="16" max="16" width="5" bestFit="1" customWidth="1"/>
    <col min="17" max="17" width="8.5703125" hidden="1" customWidth="1"/>
    <col min="18" max="18" width="5.5703125" hidden="1" customWidth="1"/>
    <col min="19" max="19" width="6.5703125" hidden="1" customWidth="1"/>
    <col min="20" max="20" width="5.5703125" hidden="1" customWidth="1"/>
    <col min="21" max="22" width="6.5703125" hidden="1" customWidth="1"/>
    <col min="23" max="24" width="8.5703125" hidden="1" customWidth="1"/>
    <col min="25" max="25" width="5.5703125" hidden="1" customWidth="1"/>
    <col min="26" max="26" width="6.5703125" hidden="1" customWidth="1"/>
    <col min="27" max="27" width="5.5703125" hidden="1" customWidth="1"/>
    <col min="28" max="29" width="6.5703125" hidden="1" customWidth="1"/>
    <col min="30" max="31" width="8.5703125" hidden="1" customWidth="1"/>
    <col min="32" max="32" width="5.5703125" hidden="1" customWidth="1"/>
    <col min="33" max="33" width="6.5703125" hidden="1" customWidth="1"/>
    <col min="34" max="34" width="5.5703125" hidden="1" customWidth="1"/>
    <col min="35" max="36" width="6.5703125" hidden="1" customWidth="1"/>
    <col min="37" max="38" width="8.5703125" hidden="1" customWidth="1"/>
    <col min="39" max="39" width="5.5703125" hidden="1" customWidth="1"/>
    <col min="40" max="40" width="6.5703125" hidden="1" customWidth="1"/>
    <col min="41" max="41" width="5.5703125" hidden="1" customWidth="1"/>
    <col min="42" max="43" width="6.5703125" hidden="1" customWidth="1"/>
    <col min="44" max="44" width="8.5703125" hidden="1" customWidth="1"/>
    <col min="45" max="45" width="9.5703125" customWidth="1"/>
    <col min="46" max="46" width="5.5703125" customWidth="1"/>
    <col min="47" max="47" width="6.5703125" customWidth="1"/>
    <col min="48" max="48" width="5.5703125" customWidth="1"/>
    <col min="49" max="50" width="6.5703125" customWidth="1"/>
    <col min="51" max="51" width="8.5703125" customWidth="1"/>
    <col min="52" max="52" width="9.5703125" bestFit="1" customWidth="1"/>
    <col min="53" max="53" width="5.5703125" bestFit="1" customWidth="1"/>
    <col min="54" max="54" width="6.5703125" bestFit="1" customWidth="1"/>
    <col min="55" max="55" width="5.5703125" bestFit="1" customWidth="1"/>
    <col min="56" max="57" width="6.5703125" bestFit="1" customWidth="1"/>
    <col min="58" max="58" width="8.5703125" bestFit="1" customWidth="1"/>
    <col min="59" max="59" width="9.5703125" bestFit="1" customWidth="1"/>
    <col min="60" max="60" width="5.5703125" bestFit="1" customWidth="1"/>
    <col min="61" max="61" width="6.5703125" bestFit="1" customWidth="1"/>
    <col min="62" max="62" width="5.5703125" bestFit="1" customWidth="1"/>
    <col min="63" max="64" width="6.5703125" bestFit="1" customWidth="1"/>
    <col min="65" max="65" width="8.5703125" bestFit="1" customWidth="1"/>
    <col min="66" max="66" width="9.5703125" bestFit="1" customWidth="1"/>
    <col min="67" max="67" width="5.5703125" bestFit="1" customWidth="1"/>
    <col min="68" max="68" width="6.5703125" bestFit="1" customWidth="1"/>
    <col min="69" max="69" width="5.5703125" bestFit="1" customWidth="1"/>
    <col min="70" max="71" width="6.5703125" bestFit="1" customWidth="1"/>
    <col min="72" max="72" width="8.5703125" bestFit="1" customWidth="1"/>
    <col min="73" max="73" width="9.5703125" bestFit="1" customWidth="1"/>
    <col min="80" max="80" width="9.5703125" bestFit="1" customWidth="1"/>
  </cols>
  <sheetData>
    <row r="1" spans="1:86" x14ac:dyDescent="0.25">
      <c r="B1" s="39" t="s">
        <v>44</v>
      </c>
      <c r="C1" s="39" t="s">
        <v>44</v>
      </c>
      <c r="D1" s="44">
        <v>2500</v>
      </c>
      <c r="E1" s="44"/>
      <c r="F1" s="44">
        <v>3300</v>
      </c>
      <c r="G1" s="44"/>
      <c r="K1" s="44">
        <v>2200</v>
      </c>
      <c r="L1" s="44"/>
      <c r="M1" s="44">
        <v>3000</v>
      </c>
      <c r="N1" s="44"/>
      <c r="Q1" t="s">
        <v>44</v>
      </c>
      <c r="R1" s="44">
        <v>2200</v>
      </c>
      <c r="S1" s="44"/>
      <c r="T1" s="44">
        <v>3000</v>
      </c>
      <c r="U1" s="44"/>
      <c r="V1" t="s">
        <v>67</v>
      </c>
      <c r="W1" t="s">
        <v>68</v>
      </c>
    </row>
    <row r="2" spans="1:86" hidden="1" x14ac:dyDescent="0.25">
      <c r="A2" s="40">
        <v>15</v>
      </c>
      <c r="B2">
        <v>2000</v>
      </c>
      <c r="C2" s="3">
        <f t="shared" ref="C2:C10" si="0">B2*$B$19/$B$18</f>
        <v>1658.8235294117646</v>
      </c>
      <c r="D2" s="1">
        <f>C2/$D$1</f>
        <v>0.66352941176470581</v>
      </c>
      <c r="E2" s="41">
        <f>SQRT(4*D2/(PI()))*12</f>
        <v>11.029768429397352</v>
      </c>
      <c r="F2" s="1">
        <f>C2/$F$1</f>
        <v>0.50267379679144386</v>
      </c>
      <c r="G2" s="41">
        <f>SQRT(4*F2/(PI()))*12</f>
        <v>9.6001811696182511</v>
      </c>
      <c r="H2">
        <v>10</v>
      </c>
      <c r="I2" s="3">
        <f>C2/((((H2/12)^2)/4)*PI())</f>
        <v>3041.3947901532638</v>
      </c>
      <c r="J2" s="43">
        <f t="shared" ref="J2:J12" si="1">SUM(C2:C2)</f>
        <v>1658.8235294117646</v>
      </c>
      <c r="K2" s="42">
        <f t="shared" ref="K2:K10" si="2">J2/$K$1</f>
        <v>0.75401069518716579</v>
      </c>
      <c r="L2" s="43">
        <f t="shared" ref="L2:L8" si="3">SQRT(4*K2/(PI()))*12</f>
        <v>11.75777265192006</v>
      </c>
      <c r="M2" s="42">
        <f t="shared" ref="M2:M10" si="4">J2/$M$1</f>
        <v>0.55294117647058816</v>
      </c>
      <c r="N2" s="43">
        <f t="shared" ref="N2:N8" si="5">SQRT(4*M2/(PI()))*12</f>
        <v>10.068754954732096</v>
      </c>
      <c r="O2" s="43">
        <v>10</v>
      </c>
      <c r="P2" s="43">
        <f t="shared" ref="P2:P12" si="6">J2/((((O2/12)^2)/4)*PI())</f>
        <v>3041.3947901532638</v>
      </c>
      <c r="Q2" s="48">
        <f>SUM(J2:J3)</f>
        <v>3317.6470588235293</v>
      </c>
      <c r="R2" s="48">
        <f>Q2/$K$1</f>
        <v>1.5080213903743316</v>
      </c>
      <c r="S2" s="48">
        <f t="shared" ref="S2" si="7">SQRT(4*R2/(PI()))*12</f>
        <v>16.628001547644821</v>
      </c>
      <c r="T2" s="48">
        <f t="shared" ref="T2" si="8">Q2/$M$1</f>
        <v>1.1058823529411763</v>
      </c>
      <c r="U2" s="48">
        <f t="shared" ref="U2" si="9">SQRT(4*T2/(PI()))*12</f>
        <v>14.239369813193427</v>
      </c>
      <c r="V2" s="48">
        <v>14</v>
      </c>
      <c r="W2" s="48">
        <f t="shared" ref="W2" si="10">Q2/((((V2/12)^2)/4)*PI())</f>
        <v>3103.4640715849628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</row>
    <row r="3" spans="1:86" hidden="1" x14ac:dyDescent="0.25">
      <c r="A3" s="40">
        <v>12</v>
      </c>
      <c r="B3">
        <v>2000</v>
      </c>
      <c r="C3" s="3">
        <f t="shared" si="0"/>
        <v>1658.8235294117646</v>
      </c>
      <c r="D3" s="1">
        <f t="shared" ref="D3:D10" si="11">C3/$D$1</f>
        <v>0.66352941176470581</v>
      </c>
      <c r="E3" s="41">
        <f t="shared" ref="E3:E10" si="12">SQRT(4*D3/(PI()))*12</f>
        <v>11.029768429397352</v>
      </c>
      <c r="F3" s="1">
        <f t="shared" ref="F3:F10" si="13">C3/$F$1</f>
        <v>0.50267379679144386</v>
      </c>
      <c r="G3" s="41">
        <f t="shared" ref="G3:G10" si="14">SQRT(4*F3/(PI()))*12</f>
        <v>9.6001811696182511</v>
      </c>
      <c r="H3">
        <v>10</v>
      </c>
      <c r="I3" s="3">
        <f t="shared" ref="I3:I10" si="15">C3/((((H3/12)^2)/4)*PI())</f>
        <v>3041.3947901532638</v>
      </c>
      <c r="J3" s="43">
        <f t="shared" si="1"/>
        <v>1658.8235294117646</v>
      </c>
      <c r="K3" s="42">
        <f t="shared" si="2"/>
        <v>0.75401069518716579</v>
      </c>
      <c r="L3" s="43">
        <f t="shared" si="3"/>
        <v>11.75777265192006</v>
      </c>
      <c r="M3" s="42">
        <f t="shared" si="4"/>
        <v>0.55294117647058816</v>
      </c>
      <c r="N3" s="43">
        <f t="shared" si="5"/>
        <v>10.068754954732096</v>
      </c>
      <c r="O3" s="43">
        <v>10</v>
      </c>
      <c r="P3" s="43">
        <f t="shared" si="6"/>
        <v>3041.3947901532638</v>
      </c>
      <c r="Q3" s="48"/>
      <c r="R3" s="48"/>
      <c r="S3" s="48"/>
      <c r="T3" s="48"/>
      <c r="U3" s="48"/>
      <c r="V3" s="48"/>
      <c r="W3" s="48"/>
      <c r="X3" s="48">
        <f>Q2+J4</f>
        <v>4312.9411764705883</v>
      </c>
      <c r="Y3" s="48">
        <f t="shared" ref="Y3" si="16">X3/$K$1</f>
        <v>1.960427807486631</v>
      </c>
      <c r="Z3" s="48">
        <f t="shared" ref="Z3" si="17">SQRT(4*Y3/(PI()))*12</f>
        <v>18.958838733135057</v>
      </c>
      <c r="AA3" s="48">
        <f t="shared" ref="AA3" si="18">X3/$M$1</f>
        <v>1.4376470588235295</v>
      </c>
      <c r="AB3" s="48">
        <f t="shared" ref="AB3" si="19">SQRT(4*AA3/(PI()))*12</f>
        <v>16.23537952990165</v>
      </c>
      <c r="AC3" s="48">
        <v>16</v>
      </c>
      <c r="AD3" s="48">
        <f t="shared" ref="AD3" si="20">X3/((((AC3/12)^2)/4)*PI())</f>
        <v>3088.9165837494088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1:86" hidden="1" x14ac:dyDescent="0.25">
      <c r="A4" s="40">
        <v>14</v>
      </c>
      <c r="B4">
        <v>1200</v>
      </c>
      <c r="C4" s="3">
        <f t="shared" si="0"/>
        <v>995.29411764705878</v>
      </c>
      <c r="D4" s="1">
        <f t="shared" si="11"/>
        <v>0.39811764705882352</v>
      </c>
      <c r="E4" s="41">
        <f t="shared" si="12"/>
        <v>8.543621887916057</v>
      </c>
      <c r="F4" s="1">
        <f t="shared" si="13"/>
        <v>0.30160427807486628</v>
      </c>
      <c r="G4" s="41">
        <f t="shared" si="14"/>
        <v>7.4362683581011053</v>
      </c>
      <c r="H4">
        <v>8</v>
      </c>
      <c r="I4" s="3">
        <f t="shared" si="15"/>
        <v>2851.3076157686851</v>
      </c>
      <c r="J4" s="43">
        <f t="shared" si="1"/>
        <v>995.29411764705878</v>
      </c>
      <c r="K4" s="42">
        <f t="shared" si="2"/>
        <v>0.45240641711229945</v>
      </c>
      <c r="L4" s="43">
        <f t="shared" si="3"/>
        <v>9.107531533875882</v>
      </c>
      <c r="M4" s="42">
        <f t="shared" si="4"/>
        <v>0.33176470588235291</v>
      </c>
      <c r="N4" s="43">
        <f t="shared" si="5"/>
        <v>7.7992240513441633</v>
      </c>
      <c r="O4" s="43">
        <v>8</v>
      </c>
      <c r="P4" s="43">
        <f t="shared" si="6"/>
        <v>2851.3076157686851</v>
      </c>
      <c r="Q4" s="1"/>
      <c r="R4" s="1"/>
      <c r="S4" s="1"/>
      <c r="T4" s="1"/>
      <c r="U4" s="1"/>
      <c r="V4" s="1"/>
      <c r="W4" s="1"/>
      <c r="X4" s="48"/>
      <c r="Y4" s="48"/>
      <c r="Z4" s="48"/>
      <c r="AA4" s="48"/>
      <c r="AB4" s="48"/>
      <c r="AC4" s="48"/>
      <c r="AD4" s="48"/>
      <c r="AE4" s="48">
        <f>X3+J5</f>
        <v>5308.2352941176468</v>
      </c>
      <c r="AF4" s="48">
        <f t="shared" ref="AF4" si="21">AE4/$K$1</f>
        <v>2.4128342245989303</v>
      </c>
      <c r="AG4" s="48">
        <f t="shared" ref="AG4" si="22">SQRT(4*AF4/(PI()))*12</f>
        <v>21.032943130944979</v>
      </c>
      <c r="AH4" s="48">
        <f t="shared" ref="AH4" si="23">AE4/$M$1</f>
        <v>1.7694117647058822</v>
      </c>
      <c r="AI4" s="48">
        <f t="shared" ref="AI4" si="24">SQRT(4*AH4/(PI()))*12</f>
        <v>18.011536422055027</v>
      </c>
      <c r="AJ4" s="48">
        <v>18</v>
      </c>
      <c r="AK4" s="48">
        <f t="shared" ref="AK4" si="25">AE4/((((AJ4/12)^2)/4)*PI())</f>
        <v>3003.8467063242115</v>
      </c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86" hidden="1" x14ac:dyDescent="0.25">
      <c r="A5" s="40">
        <v>7</v>
      </c>
      <c r="B5">
        <v>1200</v>
      </c>
      <c r="C5" s="3">
        <f t="shared" si="0"/>
        <v>995.29411764705878</v>
      </c>
      <c r="D5" s="1">
        <f t="shared" si="11"/>
        <v>0.39811764705882352</v>
      </c>
      <c r="E5" s="41">
        <f t="shared" si="12"/>
        <v>8.543621887916057</v>
      </c>
      <c r="F5" s="1">
        <f t="shared" si="13"/>
        <v>0.30160427807486628</v>
      </c>
      <c r="G5" s="41">
        <f t="shared" si="14"/>
        <v>7.4362683581011053</v>
      </c>
      <c r="H5">
        <v>8</v>
      </c>
      <c r="I5" s="3">
        <f t="shared" si="15"/>
        <v>2851.3076157686851</v>
      </c>
      <c r="J5" s="43">
        <f t="shared" si="1"/>
        <v>995.29411764705878</v>
      </c>
      <c r="K5" s="42">
        <f t="shared" si="2"/>
        <v>0.45240641711229945</v>
      </c>
      <c r="L5" s="43">
        <f t="shared" si="3"/>
        <v>9.107531533875882</v>
      </c>
      <c r="M5" s="42">
        <f t="shared" si="4"/>
        <v>0.33176470588235291</v>
      </c>
      <c r="N5" s="43">
        <f t="shared" si="5"/>
        <v>7.7992240513441633</v>
      </c>
      <c r="O5" s="43">
        <v>8</v>
      </c>
      <c r="P5" s="43">
        <f t="shared" si="6"/>
        <v>2851.3076157686851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48"/>
      <c r="AF5" s="48"/>
      <c r="AG5" s="48"/>
      <c r="AH5" s="48"/>
      <c r="AI5" s="48"/>
      <c r="AJ5" s="48"/>
      <c r="AK5" s="48"/>
      <c r="AL5" s="48">
        <f>AE4+J6</f>
        <v>6801.1764705882351</v>
      </c>
      <c r="AM5" s="48">
        <f t="shared" ref="AM5" si="26">AL5/$K$1</f>
        <v>3.0914438502673796</v>
      </c>
      <c r="AN5" s="48">
        <f t="shared" ref="AN5" si="27">SQRT(4*AM5/(PI()))*12</f>
        <v>23.807675079906083</v>
      </c>
      <c r="AO5" s="48">
        <f t="shared" ref="AO5" si="28">AL5/$M$1</f>
        <v>2.2670588235294118</v>
      </c>
      <c r="AP5" s="48">
        <f t="shared" ref="AP5" si="29">SQRT(4*AO5/(PI()))*12</f>
        <v>20.387674903912234</v>
      </c>
      <c r="AQ5" s="48">
        <v>20</v>
      </c>
      <c r="AR5" s="48">
        <f t="shared" ref="AR5" si="30">AL5/((((AQ5/12)^2)/4)*PI())</f>
        <v>3117.4296599070954</v>
      </c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</row>
    <row r="6" spans="1:86" hidden="1" x14ac:dyDescent="0.25">
      <c r="A6" s="40">
        <v>16</v>
      </c>
      <c r="B6">
        <v>1800</v>
      </c>
      <c r="C6" s="3">
        <f t="shared" si="0"/>
        <v>1492.9411764705883</v>
      </c>
      <c r="D6" s="1">
        <f t="shared" si="11"/>
        <v>0.59717647058823531</v>
      </c>
      <c r="E6" s="41">
        <f t="shared" si="12"/>
        <v>10.463757090334116</v>
      </c>
      <c r="F6" s="1">
        <f t="shared" si="13"/>
        <v>0.45240641711229951</v>
      </c>
      <c r="G6" s="41">
        <f t="shared" si="14"/>
        <v>9.107531533875882</v>
      </c>
      <c r="H6">
        <v>10</v>
      </c>
      <c r="I6" s="3">
        <f t="shared" si="15"/>
        <v>2737.2553111379375</v>
      </c>
      <c r="J6" s="43">
        <f t="shared" si="1"/>
        <v>1492.9411764705883</v>
      </c>
      <c r="K6" s="42">
        <f t="shared" si="2"/>
        <v>0.67860962566844918</v>
      </c>
      <c r="L6" s="43">
        <f t="shared" si="3"/>
        <v>11.154402537151658</v>
      </c>
      <c r="M6" s="42">
        <f t="shared" si="4"/>
        <v>0.49764705882352944</v>
      </c>
      <c r="N6" s="43">
        <f t="shared" si="5"/>
        <v>9.552059657717697</v>
      </c>
      <c r="O6" s="43">
        <v>10</v>
      </c>
      <c r="P6" s="43">
        <f t="shared" si="6"/>
        <v>2737.2553111379375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48"/>
      <c r="AM6" s="48"/>
      <c r="AN6" s="48"/>
      <c r="AO6" s="48"/>
      <c r="AP6" s="48"/>
      <c r="AQ6" s="48"/>
      <c r="AR6" s="48"/>
      <c r="AS6" s="48">
        <f>AL5+J7</f>
        <v>7796.4705882352937</v>
      </c>
      <c r="AT6" s="48">
        <f t="shared" ref="AT6" si="31">AS6/$K$1</f>
        <v>3.5438502673796788</v>
      </c>
      <c r="AU6" s="48">
        <f t="shared" ref="AU6" si="32">SQRT(4*AT6/(PI()))*12</f>
        <v>25.490243689516284</v>
      </c>
      <c r="AV6" s="48">
        <f t="shared" ref="AV6" si="33">AS6/$M$1</f>
        <v>2.5988235294117645</v>
      </c>
      <c r="AW6" s="48">
        <f t="shared" ref="AW6" si="34">SQRT(4*AV6/(PI()))*12</f>
        <v>21.828540578579183</v>
      </c>
      <c r="AX6" s="48">
        <v>22</v>
      </c>
      <c r="AY6" s="48">
        <f t="shared" ref="AY6" si="35">AS6/((((AX6/12)^2)/4)*PI())</f>
        <v>2953.420560686021</v>
      </c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</row>
    <row r="7" spans="1:86" x14ac:dyDescent="0.25">
      <c r="A7" s="40">
        <v>10</v>
      </c>
      <c r="B7">
        <v>1200</v>
      </c>
      <c r="C7" s="3">
        <f t="shared" si="0"/>
        <v>995.29411764705878</v>
      </c>
      <c r="D7" s="1">
        <f t="shared" si="11"/>
        <v>0.39811764705882352</v>
      </c>
      <c r="E7" s="41">
        <f t="shared" si="12"/>
        <v>8.543621887916057</v>
      </c>
      <c r="F7" s="1">
        <f t="shared" si="13"/>
        <v>0.30160427807486628</v>
      </c>
      <c r="G7" s="41">
        <f t="shared" si="14"/>
        <v>7.4362683581011053</v>
      </c>
      <c r="H7">
        <v>8</v>
      </c>
      <c r="I7" s="3">
        <f t="shared" si="15"/>
        <v>2851.3076157686851</v>
      </c>
      <c r="J7" s="43">
        <f t="shared" si="1"/>
        <v>995.29411764705878</v>
      </c>
      <c r="K7" s="42">
        <f t="shared" si="2"/>
        <v>0.45240641711229945</v>
      </c>
      <c r="L7" s="43">
        <f t="shared" si="3"/>
        <v>9.107531533875882</v>
      </c>
      <c r="M7" s="42">
        <f t="shared" si="4"/>
        <v>0.33176470588235291</v>
      </c>
      <c r="N7" s="43">
        <f t="shared" si="5"/>
        <v>7.7992240513441633</v>
      </c>
      <c r="O7" s="43">
        <v>8</v>
      </c>
      <c r="P7" s="43">
        <f t="shared" si="6"/>
        <v>2851.3076157686851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48"/>
      <c r="AT7" s="48"/>
      <c r="AU7" s="48"/>
      <c r="AV7" s="48"/>
      <c r="AW7" s="48"/>
      <c r="AX7" s="48"/>
      <c r="AY7" s="48"/>
      <c r="AZ7" s="48">
        <f>AS6+J8</f>
        <v>8791.7647058823532</v>
      </c>
      <c r="BA7" s="48">
        <f t="shared" ref="BA7" si="36">AZ7/$K$1</f>
        <v>3.9962566844919789</v>
      </c>
      <c r="BB7" s="48">
        <f t="shared" ref="BB7" si="37">SQRT(4*BA7/(PI()))*12</f>
        <v>27.06842540657783</v>
      </c>
      <c r="BC7" s="48">
        <f t="shared" ref="BC7" si="38">AZ7/$M$1</f>
        <v>2.9305882352941177</v>
      </c>
      <c r="BD7" s="48">
        <f t="shared" ref="BD7" si="39">SQRT(4*BC7/(PI()))*12</f>
        <v>23.180014659049363</v>
      </c>
      <c r="BE7" s="48">
        <v>22</v>
      </c>
      <c r="BF7" s="48">
        <f t="shared" ref="BF7" si="40">AZ7/((((BE7/12)^2)/4)*PI())</f>
        <v>3330.4529726884921</v>
      </c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1:86" x14ac:dyDescent="0.25">
      <c r="A8" s="40">
        <v>9</v>
      </c>
      <c r="B8">
        <v>1200</v>
      </c>
      <c r="C8" s="3">
        <f t="shared" si="0"/>
        <v>995.29411764705878</v>
      </c>
      <c r="D8" s="1">
        <f t="shared" si="11"/>
        <v>0.39811764705882352</v>
      </c>
      <c r="E8" s="41">
        <f t="shared" si="12"/>
        <v>8.543621887916057</v>
      </c>
      <c r="F8" s="1">
        <f t="shared" si="13"/>
        <v>0.30160427807486628</v>
      </c>
      <c r="G8" s="41">
        <f t="shared" si="14"/>
        <v>7.4362683581011053</v>
      </c>
      <c r="H8">
        <v>8</v>
      </c>
      <c r="I8" s="3">
        <f t="shared" si="15"/>
        <v>2851.3076157686851</v>
      </c>
      <c r="J8" s="43">
        <f t="shared" si="1"/>
        <v>995.29411764705878</v>
      </c>
      <c r="K8" s="42">
        <f t="shared" si="2"/>
        <v>0.45240641711229945</v>
      </c>
      <c r="L8" s="43">
        <f t="shared" si="3"/>
        <v>9.107531533875882</v>
      </c>
      <c r="M8" s="42">
        <f t="shared" si="4"/>
        <v>0.33176470588235291</v>
      </c>
      <c r="N8" s="43">
        <f t="shared" si="5"/>
        <v>7.7992240513441633</v>
      </c>
      <c r="O8" s="43">
        <v>8</v>
      </c>
      <c r="P8" s="43">
        <f t="shared" si="6"/>
        <v>2851.3076157686851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48"/>
      <c r="BA8" s="48"/>
      <c r="BB8" s="48"/>
      <c r="BC8" s="48"/>
      <c r="BD8" s="48"/>
      <c r="BE8" s="48"/>
      <c r="BF8" s="48"/>
      <c r="BG8" s="48">
        <f>AZ7+J9</f>
        <v>9787.0588235294126</v>
      </c>
      <c r="BH8" s="48">
        <f t="shared" ref="BH8" si="41">BG8/$K$1</f>
        <v>4.4486631016042786</v>
      </c>
      <c r="BI8" s="48">
        <f t="shared" ref="BI8" si="42">SQRT(4*BH8/(PI()))*12</f>
        <v>28.559530539419093</v>
      </c>
      <c r="BJ8" s="48">
        <f t="shared" ref="BJ8" si="43">BG8/$M$1</f>
        <v>3.2623529411764709</v>
      </c>
      <c r="BK8" s="48">
        <f t="shared" ref="BK8" si="44">SQRT(4*BJ8/(PI()))*12</f>
        <v>24.456920807755189</v>
      </c>
      <c r="BL8" s="48">
        <v>25</v>
      </c>
      <c r="BM8" s="48">
        <f t="shared" ref="BM8" si="45">BG8/((((BL8/12)^2)/4)*PI())</f>
        <v>2871.0766819046812</v>
      </c>
      <c r="BN8" s="1"/>
      <c r="BO8" s="1"/>
      <c r="BP8" s="1"/>
      <c r="BQ8" s="1"/>
      <c r="BR8" s="1"/>
      <c r="BS8" s="1"/>
      <c r="BT8" s="1"/>
    </row>
    <row r="9" spans="1:86" x14ac:dyDescent="0.25">
      <c r="A9" s="40">
        <v>8</v>
      </c>
      <c r="B9">
        <v>1200</v>
      </c>
      <c r="C9" s="3">
        <f t="shared" si="0"/>
        <v>995.29411764705878</v>
      </c>
      <c r="D9" s="1">
        <f t="shared" si="11"/>
        <v>0.39811764705882352</v>
      </c>
      <c r="E9" s="41">
        <f t="shared" si="12"/>
        <v>8.543621887916057</v>
      </c>
      <c r="F9" s="1">
        <f t="shared" si="13"/>
        <v>0.30160427807486628</v>
      </c>
      <c r="G9" s="41">
        <f t="shared" si="14"/>
        <v>7.4362683581011053</v>
      </c>
      <c r="H9">
        <v>8</v>
      </c>
      <c r="I9" s="3">
        <f t="shared" si="15"/>
        <v>2851.3076157686851</v>
      </c>
      <c r="J9" s="43">
        <f t="shared" si="1"/>
        <v>995.29411764705878</v>
      </c>
      <c r="K9" s="42">
        <f t="shared" si="2"/>
        <v>0.45240641711229945</v>
      </c>
      <c r="L9" s="43">
        <f t="shared" ref="L9:L10" si="46">SQRT(4*K9/(PI()))*12</f>
        <v>9.107531533875882</v>
      </c>
      <c r="M9" s="42">
        <f t="shared" si="4"/>
        <v>0.33176470588235291</v>
      </c>
      <c r="N9" s="43">
        <f t="shared" ref="N9:N10" si="47">SQRT(4*M9/(PI()))*12</f>
        <v>7.7992240513441633</v>
      </c>
      <c r="O9" s="43">
        <v>8</v>
      </c>
      <c r="P9" s="43">
        <f t="shared" si="6"/>
        <v>2851.3076157686851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48"/>
      <c r="BH9" s="48"/>
      <c r="BI9" s="48"/>
      <c r="BJ9" s="48"/>
      <c r="BK9" s="48"/>
      <c r="BL9" s="48"/>
      <c r="BM9" s="48"/>
      <c r="BN9" s="48">
        <f>BG8+J10</f>
        <v>10782.352941176472</v>
      </c>
      <c r="BO9" s="48">
        <f t="shared" ref="BO9" si="48">BN9/$K$1</f>
        <v>4.9010695187165778</v>
      </c>
      <c r="BP9" s="48">
        <f t="shared" ref="BP9" si="49">SQRT(4*BO9/(PI()))*12</f>
        <v>29.976556094263984</v>
      </c>
      <c r="BQ9" s="48">
        <f t="shared" ref="BQ9" si="50">BN9/$M$1</f>
        <v>3.5941176470588241</v>
      </c>
      <c r="BR9" s="48">
        <f t="shared" ref="BR9" si="51">SQRT(4*BQ9/(PI()))*12</f>
        <v>25.670388995881503</v>
      </c>
      <c r="BS9" s="48">
        <v>25</v>
      </c>
      <c r="BT9" s="48">
        <f t="shared" ref="BT9" si="52">BN9/((((BS9/12)^2)/4)*PI())</f>
        <v>3163.0505817593944</v>
      </c>
    </row>
    <row r="10" spans="1:86" x14ac:dyDescent="0.25">
      <c r="A10" s="40">
        <v>6</v>
      </c>
      <c r="B10">
        <v>1200</v>
      </c>
      <c r="C10" s="3">
        <f t="shared" si="0"/>
        <v>995.29411764705878</v>
      </c>
      <c r="D10" s="1">
        <f t="shared" si="11"/>
        <v>0.39811764705882352</v>
      </c>
      <c r="E10" s="41">
        <f t="shared" si="12"/>
        <v>8.543621887916057</v>
      </c>
      <c r="F10" s="1">
        <f t="shared" si="13"/>
        <v>0.30160427807486628</v>
      </c>
      <c r="G10" s="41">
        <f t="shared" si="14"/>
        <v>7.4362683581011053</v>
      </c>
      <c r="H10">
        <v>8</v>
      </c>
      <c r="I10" s="3">
        <f t="shared" si="15"/>
        <v>2851.3076157686851</v>
      </c>
      <c r="J10" s="43">
        <f t="shared" si="1"/>
        <v>995.29411764705878</v>
      </c>
      <c r="K10" s="42">
        <f t="shared" si="2"/>
        <v>0.45240641711229945</v>
      </c>
      <c r="L10" s="43">
        <f t="shared" si="46"/>
        <v>9.107531533875882</v>
      </c>
      <c r="M10" s="42">
        <f t="shared" si="4"/>
        <v>0.33176470588235291</v>
      </c>
      <c r="N10" s="43">
        <f t="shared" si="47"/>
        <v>7.7992240513441633</v>
      </c>
      <c r="O10" s="43">
        <v>8</v>
      </c>
      <c r="P10" s="43">
        <f t="shared" si="6"/>
        <v>2851.3076157686851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48"/>
      <c r="BO10" s="48"/>
      <c r="BP10" s="48"/>
      <c r="BQ10" s="48"/>
      <c r="BR10" s="48"/>
      <c r="BS10" s="48"/>
      <c r="BT10" s="48"/>
      <c r="BU10" s="48">
        <f>BN9+J11</f>
        <v>12441.176470588236</v>
      </c>
      <c r="BV10" s="48">
        <f t="shared" ref="BV10" si="53">BU10/$K$1</f>
        <v>5.6550802139037435</v>
      </c>
      <c r="BW10" s="48">
        <f t="shared" ref="BW10" si="54">SQRT(4*BV10/(PI()))*12</f>
        <v>32.199986537369767</v>
      </c>
      <c r="BX10" s="48">
        <f t="shared" ref="BX10" si="55">BU10/$M$1</f>
        <v>4.1470588235294121</v>
      </c>
      <c r="BY10" s="48">
        <f t="shared" ref="BY10" si="56">SQRT(4*BX10/(PI()))*12</f>
        <v>27.574421073493383</v>
      </c>
      <c r="BZ10" s="48">
        <v>28</v>
      </c>
      <c r="CA10" s="48">
        <f t="shared" ref="CA10" si="57">BU10/((((BZ10/12)^2)/4)*PI())</f>
        <v>2909.4975671109028</v>
      </c>
    </row>
    <row r="11" spans="1:86" x14ac:dyDescent="0.25">
      <c r="A11" s="40">
        <v>20</v>
      </c>
      <c r="B11">
        <v>2000</v>
      </c>
      <c r="C11" s="3">
        <f t="shared" ref="C11:C12" si="58">B11*$B$19/$B$18</f>
        <v>1658.8235294117646</v>
      </c>
      <c r="D11" s="1">
        <f t="shared" ref="D11:D12" si="59">C11/$D$1</f>
        <v>0.66352941176470581</v>
      </c>
      <c r="E11" s="41">
        <f t="shared" ref="E11:E12" si="60">SQRT(4*D11/(PI()))*12</f>
        <v>11.029768429397352</v>
      </c>
      <c r="F11" s="1">
        <f t="shared" ref="F11:F12" si="61">C11/$F$1</f>
        <v>0.50267379679144386</v>
      </c>
      <c r="G11" s="41">
        <f t="shared" ref="G11:G12" si="62">SQRT(4*F11/(PI()))*12</f>
        <v>9.6001811696182511</v>
      </c>
      <c r="H11">
        <v>10</v>
      </c>
      <c r="I11" s="3">
        <f t="shared" ref="I11:I12" si="63">C11/((((H11/12)^2)/4)*PI())</f>
        <v>3041.3947901532638</v>
      </c>
      <c r="J11" s="43">
        <f t="shared" si="1"/>
        <v>1658.8235294117646</v>
      </c>
      <c r="K11" s="42">
        <f t="shared" ref="K11:K12" si="64">J11/$K$1</f>
        <v>0.75401069518716579</v>
      </c>
      <c r="L11" s="43">
        <f t="shared" ref="L11:L12" si="65">SQRT(4*K11/(PI()))*12</f>
        <v>11.75777265192006</v>
      </c>
      <c r="M11" s="42">
        <f t="shared" ref="M11:M12" si="66">J11/$M$1</f>
        <v>0.55294117647058816</v>
      </c>
      <c r="N11" s="43">
        <f t="shared" ref="N11:N12" si="67">SQRT(4*M11/(PI()))*12</f>
        <v>10.068754954732096</v>
      </c>
      <c r="O11" s="43">
        <v>10</v>
      </c>
      <c r="P11" s="43">
        <f t="shared" si="6"/>
        <v>3041.3947901532638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48"/>
      <c r="BV11" s="48"/>
      <c r="BW11" s="48"/>
      <c r="BX11" s="48"/>
      <c r="BY11" s="48"/>
      <c r="BZ11" s="48"/>
      <c r="CA11" s="48"/>
      <c r="CB11" s="48">
        <f>BU10+J12</f>
        <v>14100</v>
      </c>
      <c r="CC11" s="48">
        <f t="shared" ref="CC11" si="68">CB11/$K$1</f>
        <v>6.4090909090909092</v>
      </c>
      <c r="CD11" s="48">
        <f t="shared" ref="CD11" si="69">SQRT(4*CC11/(PI()))*12</f>
        <v>34.279503361936762</v>
      </c>
      <c r="CE11" s="48">
        <f t="shared" ref="CE11" si="70">CB11/$M$1</f>
        <v>4.7</v>
      </c>
      <c r="CF11" s="48">
        <f t="shared" ref="CF11" si="71">SQRT(4*CE11/(PI()))*12</f>
        <v>29.355212891014062</v>
      </c>
      <c r="CG11" s="48">
        <v>28</v>
      </c>
      <c r="CH11" s="48">
        <f t="shared" ref="CH11" si="72">CB11/((((CG11/12)^2)/4)*PI())</f>
        <v>3297.4305760590232</v>
      </c>
    </row>
    <row r="12" spans="1:86" x14ac:dyDescent="0.25">
      <c r="A12" s="40">
        <v>19</v>
      </c>
      <c r="B12">
        <v>2000</v>
      </c>
      <c r="C12" s="3">
        <f t="shared" si="58"/>
        <v>1658.8235294117646</v>
      </c>
      <c r="D12" s="1">
        <f t="shared" si="59"/>
        <v>0.66352941176470581</v>
      </c>
      <c r="E12" s="41">
        <f t="shared" si="60"/>
        <v>11.029768429397352</v>
      </c>
      <c r="F12" s="1">
        <f t="shared" si="61"/>
        <v>0.50267379679144386</v>
      </c>
      <c r="G12" s="41">
        <f t="shared" si="62"/>
        <v>9.6001811696182511</v>
      </c>
      <c r="H12">
        <v>10</v>
      </c>
      <c r="I12" s="3">
        <f t="shared" si="63"/>
        <v>3041.3947901532638</v>
      </c>
      <c r="J12" s="43">
        <f t="shared" si="1"/>
        <v>1658.8235294117646</v>
      </c>
      <c r="K12" s="42">
        <f t="shared" si="64"/>
        <v>0.75401069518716579</v>
      </c>
      <c r="L12" s="43">
        <f t="shared" si="65"/>
        <v>11.75777265192006</v>
      </c>
      <c r="M12" s="42">
        <f t="shared" si="66"/>
        <v>0.55294117647058816</v>
      </c>
      <c r="N12" s="43">
        <f t="shared" si="67"/>
        <v>10.068754954732096</v>
      </c>
      <c r="O12" s="43">
        <v>10</v>
      </c>
      <c r="P12" s="43">
        <f t="shared" si="6"/>
        <v>3041.3947901532638</v>
      </c>
      <c r="CB12" s="48"/>
      <c r="CC12" s="48"/>
      <c r="CD12" s="48"/>
      <c r="CE12" s="48"/>
      <c r="CF12" s="48"/>
      <c r="CG12" s="48"/>
      <c r="CH12" s="48"/>
    </row>
    <row r="18" spans="1:7" x14ac:dyDescent="0.25">
      <c r="A18" t="s">
        <v>51</v>
      </c>
      <c r="B18">
        <f>SUM(B2:B12)</f>
        <v>17000</v>
      </c>
    </row>
    <row r="19" spans="1:7" x14ac:dyDescent="0.25">
      <c r="A19" t="s">
        <v>52</v>
      </c>
      <c r="B19">
        <f>2350*6</f>
        <v>14100</v>
      </c>
      <c r="C19">
        <f>B19/4.276</f>
        <v>3297.4742750233863</v>
      </c>
      <c r="G19">
        <f>150*0.04</f>
        <v>6</v>
      </c>
    </row>
  </sheetData>
  <mergeCells count="76">
    <mergeCell ref="CE11:CE12"/>
    <mergeCell ref="CF11:CF12"/>
    <mergeCell ref="CG11:CG12"/>
    <mergeCell ref="CH11:CH12"/>
    <mergeCell ref="BY10:BY11"/>
    <mergeCell ref="BZ10:BZ11"/>
    <mergeCell ref="CA10:CA11"/>
    <mergeCell ref="CB11:CB12"/>
    <mergeCell ref="CC11:CC12"/>
    <mergeCell ref="CD11:CD12"/>
    <mergeCell ref="BX10:BX11"/>
    <mergeCell ref="BN9:BN10"/>
    <mergeCell ref="BO9:BO10"/>
    <mergeCell ref="BP9:BP10"/>
    <mergeCell ref="BQ9:BQ10"/>
    <mergeCell ref="BR9:BR10"/>
    <mergeCell ref="BS9:BS10"/>
    <mergeCell ref="BT9:BT10"/>
    <mergeCell ref="BU10:BU11"/>
    <mergeCell ref="BV10:BV11"/>
    <mergeCell ref="BW10:BW11"/>
    <mergeCell ref="BK8:BK9"/>
    <mergeCell ref="BL8:BL9"/>
    <mergeCell ref="BM8:BM9"/>
    <mergeCell ref="BC7:BC8"/>
    <mergeCell ref="BD7:BD8"/>
    <mergeCell ref="BE7:BE8"/>
    <mergeCell ref="BF7:BF8"/>
    <mergeCell ref="BG8:BG9"/>
    <mergeCell ref="BH8:BH9"/>
    <mergeCell ref="BI8:BI9"/>
    <mergeCell ref="BJ8:BJ9"/>
    <mergeCell ref="AZ7:AZ8"/>
    <mergeCell ref="BA7:BA8"/>
    <mergeCell ref="BB7:BB8"/>
    <mergeCell ref="AW6:AW7"/>
    <mergeCell ref="AX6:AX7"/>
    <mergeCell ref="AY6:AY7"/>
    <mergeCell ref="AT6:AT7"/>
    <mergeCell ref="AU6:AU7"/>
    <mergeCell ref="AV6:AV7"/>
    <mergeCell ref="AL5:AL6"/>
    <mergeCell ref="AM5:AM6"/>
    <mergeCell ref="AN5:AN6"/>
    <mergeCell ref="AO5:AO6"/>
    <mergeCell ref="AP5:AP6"/>
    <mergeCell ref="AQ5:AQ6"/>
    <mergeCell ref="AR5:AR6"/>
    <mergeCell ref="AS6:AS7"/>
    <mergeCell ref="AI4:AI5"/>
    <mergeCell ref="AJ4:AJ5"/>
    <mergeCell ref="AK4:AK5"/>
    <mergeCell ref="AA3:AA4"/>
    <mergeCell ref="AB3:AB4"/>
    <mergeCell ref="AC3:AC4"/>
    <mergeCell ref="AD3:AD4"/>
    <mergeCell ref="AE4:AE5"/>
    <mergeCell ref="AF4:AF5"/>
    <mergeCell ref="AG4:AG5"/>
    <mergeCell ref="AH4:AH5"/>
    <mergeCell ref="X3:X4"/>
    <mergeCell ref="Y3:Y4"/>
    <mergeCell ref="Z3:Z4"/>
    <mergeCell ref="U2:U3"/>
    <mergeCell ref="V2:V3"/>
    <mergeCell ref="W2:W3"/>
    <mergeCell ref="Q2:Q3"/>
    <mergeCell ref="R2:R3"/>
    <mergeCell ref="S2:S3"/>
    <mergeCell ref="T2:T3"/>
    <mergeCell ref="D1:E1"/>
    <mergeCell ref="F1:G1"/>
    <mergeCell ref="K1:L1"/>
    <mergeCell ref="M1:N1"/>
    <mergeCell ref="R1:S1"/>
    <mergeCell ref="T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layout</vt:lpstr>
      <vt:lpstr>K&amp;B branch size</vt:lpstr>
      <vt:lpstr>Air Change Calculator</vt:lpstr>
      <vt:lpstr>Sheet1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2012-10-15T18:14:18Z</dcterms:created>
  <dcterms:modified xsi:type="dcterms:W3CDTF">2013-08-29T20:46:21Z</dcterms:modified>
</cp:coreProperties>
</file>