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150" windowWidth="11040" windowHeight="10395"/>
  </bookViews>
  <sheets>
    <sheet name="Quote Sheet" sheetId="2" r:id="rId1"/>
    <sheet name="Lookup" sheetId="1" r:id="rId2"/>
    <sheet name="Sheet3" sheetId="3" r:id="rId3"/>
  </sheets>
  <definedNames>
    <definedName name="_xlnm.Print_Area" localSheetId="0">'Quote Sheet'!$A$1:$K$56</definedName>
  </definedNames>
  <calcPr calcId="145621"/>
</workbook>
</file>

<file path=xl/calcChain.xml><?xml version="1.0" encoding="utf-8"?>
<calcChain xmlns="http://schemas.openxmlformats.org/spreadsheetml/2006/main">
  <c r="K50" i="2" l="1"/>
  <c r="K49" i="2"/>
  <c r="K48" i="2"/>
  <c r="K47" i="2"/>
  <c r="K46" i="2"/>
  <c r="K45" i="2"/>
  <c r="K44" i="2"/>
  <c r="K42" i="2"/>
  <c r="K40" i="2"/>
  <c r="K39" i="2"/>
  <c r="K38" i="2"/>
  <c r="K36" i="2"/>
  <c r="K35" i="2"/>
  <c r="K34" i="2"/>
  <c r="K19" i="2"/>
  <c r="M562" i="1" l="1"/>
  <c r="A22" i="2" l="1"/>
  <c r="K33" i="2"/>
  <c r="I34" i="2"/>
  <c r="D34" i="2"/>
  <c r="J364" i="1" l="1"/>
  <c r="J363" i="1"/>
  <c r="J362" i="1"/>
  <c r="J366" i="1" s="1"/>
  <c r="J365" i="1" l="1"/>
  <c r="E40" i="2"/>
  <c r="E45" i="2"/>
  <c r="D36" i="2" l="1"/>
  <c r="D35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4" i="2"/>
  <c r="AL3" i="2"/>
  <c r="AD26" i="2"/>
  <c r="AE26" i="2" s="1"/>
  <c r="K51" i="2" s="1"/>
  <c r="K41" i="2" l="1"/>
  <c r="K37" i="2"/>
  <c r="K52" i="2"/>
  <c r="K43" i="2"/>
  <c r="D51" i="2"/>
  <c r="AE27" i="2"/>
  <c r="AE28" i="2" s="1"/>
  <c r="E50" i="2"/>
  <c r="E49" i="2"/>
  <c r="B344" i="1" l="1"/>
  <c r="K53" i="2" l="1"/>
  <c r="B354" i="1"/>
  <c r="B350" i="1" l="1"/>
  <c r="B346" i="1" l="1"/>
  <c r="B345" i="1"/>
  <c r="B347" i="1"/>
  <c r="B351" i="1"/>
  <c r="B355" i="1"/>
  <c r="B348" i="1"/>
  <c r="B352" i="1"/>
  <c r="B356" i="1"/>
  <c r="B349" i="1"/>
  <c r="B353" i="1"/>
  <c r="B211" i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331" i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19" i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07" i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295" i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283" i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71" i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59" i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35" i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23" i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199" i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75" i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63" i="1"/>
  <c r="B164" i="1" s="1"/>
  <c r="B165" i="1" s="1"/>
  <c r="B166" i="1" s="1"/>
  <c r="B167" i="1" s="1"/>
  <c r="B168" i="1" s="1"/>
  <c r="B169" i="1" s="1"/>
  <c r="B170" i="1" s="1"/>
  <c r="B171" i="1" s="1"/>
  <c r="B172" i="1" s="1"/>
  <c r="B139" i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03" i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91" i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6" i="1"/>
  <c r="B7" i="1" l="1"/>
  <c r="B173" i="1"/>
  <c r="B8" i="1" l="1"/>
  <c r="B174" i="1"/>
  <c r="B9" i="1" l="1"/>
  <c r="B10" i="1" l="1"/>
  <c r="B11" i="1" l="1"/>
  <c r="B12" i="1" l="1"/>
  <c r="B13" i="1" l="1"/>
  <c r="B14" i="1" l="1"/>
  <c r="B15" i="1" l="1"/>
  <c r="B16" i="1" l="1"/>
  <c r="B17" i="1" l="1"/>
  <c r="A28" i="2" s="1"/>
  <c r="A26" i="2" l="1"/>
  <c r="A27" i="2"/>
  <c r="A20" i="2"/>
  <c r="A24" i="2"/>
  <c r="A29" i="2"/>
  <c r="A25" i="2"/>
  <c r="A30" i="2"/>
  <c r="A21" i="2"/>
  <c r="A23" i="2"/>
</calcChain>
</file>

<file path=xl/sharedStrings.xml><?xml version="1.0" encoding="utf-8"?>
<sst xmlns="http://schemas.openxmlformats.org/spreadsheetml/2006/main" count="1207" uniqueCount="502">
  <si>
    <t>Model</t>
  </si>
  <si>
    <t>Description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</si>
  <si>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</si>
  <si>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 cartridge filters totaling 508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</si>
  <si>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reverse pulse filter cleaning system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</si>
  <si>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Pulse control timer board with built-in digital pressure gage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</si>
  <si>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solenoid and diaphragm valves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</si>
  <si>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Dust drawer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</si>
  <si>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door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</si>
  <si>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Heavy duty 7 and 10 gage construction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</si>
  <si>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manufactures materials and craftsmanship warranty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</si>
  <si>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Made in the USA</t>
    </r>
  </si>
  <si>
    <t>ACT 2-2 DD</t>
  </si>
  <si>
    <t>ACT 2-2 H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</si>
  <si>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55 gallon drum leg pack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</si>
  <si>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Drum lid</t>
    </r>
  </si>
  <si>
    <t>Price</t>
  </si>
  <si>
    <t>ACT 2-4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</si>
  <si>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</si>
  <si>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 cartridge filters totaling 1,016 sq ft of filter media</t>
    </r>
  </si>
  <si>
    <r>
      <t>·</t>
    </r>
    <r>
      <rPr>
        <sz val="7"/>
        <color theme="1"/>
        <rFont val="Times New Roman"/>
        <family val="1"/>
      </rPr>
      <t>         P</t>
    </r>
    <r>
      <rPr>
        <sz val="10"/>
        <color theme="1"/>
        <rFont val="Calibri"/>
        <family val="2"/>
        <scheme val="minor"/>
      </rPr>
      <t>ulse control timer board with built-in digital pressure gage</t>
    </r>
  </si>
  <si>
    <t>ACT 3-6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</si>
  <si>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</si>
  <si>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 cartridge filters totaling 1,524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</si>
  <si>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diaphragm and solenoid valves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</si>
  <si>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5 year manufactures materials and craftsmanship warranty  </t>
    </r>
  </si>
  <si>
    <t>ACT 2-8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</si>
  <si>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</si>
  <si>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8 cartridge filters totaling 2,032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</si>
  <si>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pulse control timer board with built-in digital pressure gage</t>
    </r>
  </si>
  <si>
    <t>ACT 3-12</t>
  </si>
  <si>
    <t>ACT 2-12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</si>
  <si>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New 12 cartridge downflow dust collector negligence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</si>
  <si>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12 cartridge filters totaling 3,048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</si>
  <si>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12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</si>
  <si>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Made in the USA </t>
    </r>
  </si>
  <si>
    <t>ACT 2-16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</si>
  <si>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New 16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</si>
  <si>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16 cartridge filters totaling 4,064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</si>
  <si>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filter doors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</si>
  <si>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workmanship and materials warranty</t>
    </r>
  </si>
  <si>
    <t>ACT 4-16</t>
  </si>
  <si>
    <t>ACT 3-18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</si>
  <si>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</si>
  <si>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18 cartridge filters totaling 4,572 sq ft of filter media</t>
    </r>
  </si>
  <si>
    <t>ACT 5-20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</si>
  <si>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20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</si>
  <si>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20 cartridge filters totaling 5,080 sq ft of filter media</t>
    </r>
  </si>
  <si>
    <t>ACT 2-24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</si>
  <si>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24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</si>
  <si>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24 cartridge filters totaling 6,096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</si>
  <si>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 year craftsmanship and materials warranty</t>
    </r>
  </si>
  <si>
    <t>ACT 3-24</t>
  </si>
  <si>
    <t>ACT 4-32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</si>
  <si>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32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</si>
  <si>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32 cartridge filters totaling 8,128 sq ft of filter media</t>
    </r>
  </si>
  <si>
    <t>ACT 3-36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</si>
  <si>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36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</si>
  <si>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36 cartridge filters totaling 9,144 sq ft of filter media</t>
    </r>
  </si>
  <si>
    <t>ACT 5-40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</si>
  <si>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40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</si>
  <si>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40 cartridge filters totaling 10,160 sq ft of filter media</t>
    </r>
  </si>
  <si>
    <t>ACT 4-48</t>
  </si>
  <si>
    <t>ACT 3-48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</si>
  <si>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48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</si>
  <si>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48 cartridge filters totaling 12,192 sq ft of filter media</t>
    </r>
  </si>
  <si>
    <t>ACT 3-54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</si>
  <si>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54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</si>
  <si>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54 cartridge filters totaling 13,716 sq ft of filter media</t>
    </r>
  </si>
  <si>
    <t>ACT 5-60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</si>
  <si>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60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</si>
  <si>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60 cartridge filters totaling 15,240 sq ft of filter media</t>
    </r>
  </si>
  <si>
    <t>ACT 4-64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</si>
  <si>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64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</si>
  <si>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64 cartridge filters totaling 16,256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</si>
  <si>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Quick lock, easy access filter door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</si>
  <si>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Drum lids</t>
    </r>
  </si>
  <si>
    <t>ACT 4-80</t>
  </si>
  <si>
    <t>ACT 3-72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</si>
  <si>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72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</si>
  <si>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72 cartridge filters totaling 18,288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</si>
  <si>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80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</si>
  <si>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80 cartridge filters totaling 20,320 sq ft of filter media</t>
    </r>
  </si>
  <si>
    <t>ACT 5-80</t>
  </si>
  <si>
    <t>ACT 4-96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</si>
  <si>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96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</si>
  <si>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96 cartridge filters totaling 24,384 sq ft of filter media</t>
    </r>
  </si>
  <si>
    <t>ACT 5-100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</si>
  <si>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100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</si>
  <si>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100 cartridge filters totaling 25,400 sq ft of filter media</t>
    </r>
  </si>
  <si>
    <t>ACT 4-112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</si>
  <si>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112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</si>
  <si>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112 cartridge filters totaling 28,448 sq ft of filter media</t>
    </r>
  </si>
  <si>
    <t>ACT 4-128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</si>
  <si>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128 cartridge downflow dust collector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</si>
  <si>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Holds 128 cartridge filters totaling 32,512 sq ft of filter media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</si>
  <si>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 xml:space="preserve">pulse control timer board with built-in digital pressure gage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</si>
  <si>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Goyen diaphragms and solenoids</t>
    </r>
  </si>
  <si>
    <t>Fan</t>
  </si>
  <si>
    <t>TCBI 3</t>
  </si>
  <si>
    <t>TCBI 5</t>
  </si>
  <si>
    <t>TCBI 7.5</t>
  </si>
  <si>
    <t>TCBI 10</t>
  </si>
  <si>
    <t>TCBI 15</t>
  </si>
  <si>
    <t>TCBI 20</t>
  </si>
  <si>
    <t>TCBI 25</t>
  </si>
  <si>
    <t>TCBI 30</t>
  </si>
  <si>
    <t>Silencer</t>
  </si>
  <si>
    <t>SIL 3</t>
  </si>
  <si>
    <t>SIL 5</t>
  </si>
  <si>
    <t>SIL 7.5</t>
  </si>
  <si>
    <t>SIL 10</t>
  </si>
  <si>
    <t>SIL 15</t>
  </si>
  <si>
    <t>SIL 20</t>
  </si>
  <si>
    <t xml:space="preserve">SIL 25 </t>
  </si>
  <si>
    <t>SIL 30</t>
  </si>
  <si>
    <t>Damper</t>
  </si>
  <si>
    <t>DAM 3</t>
  </si>
  <si>
    <t>DAM 5</t>
  </si>
  <si>
    <t>DAM 7.5</t>
  </si>
  <si>
    <t>DAM 10</t>
  </si>
  <si>
    <t>DAM 15</t>
  </si>
  <si>
    <t>DAM 20</t>
  </si>
  <si>
    <t>DAM 25</t>
  </si>
  <si>
    <t>DAM 30</t>
  </si>
  <si>
    <t>BCS 330-12</t>
  </si>
  <si>
    <t>BCS 330-14</t>
  </si>
  <si>
    <t>BCS 330-16</t>
  </si>
  <si>
    <t xml:space="preserve">BCS 330-18 </t>
  </si>
  <si>
    <t>BCS 330-20</t>
  </si>
  <si>
    <t>SIL BCS 12</t>
  </si>
  <si>
    <t>SIL BCS 14</t>
  </si>
  <si>
    <t>SIL BCS 16</t>
  </si>
  <si>
    <t>SIL BCS 18</t>
  </si>
  <si>
    <t>SIL BCS 20</t>
  </si>
  <si>
    <t>DAM BCS 12</t>
  </si>
  <si>
    <t>DAM BCS 14</t>
  </si>
  <si>
    <t>DAM BCS 16</t>
  </si>
  <si>
    <t>DAM BCS 18</t>
  </si>
  <si>
    <t>DAM BCS 20</t>
  </si>
  <si>
    <t>Abrasive inlet plenum</t>
  </si>
  <si>
    <t>ABIN 1</t>
  </si>
  <si>
    <t>abrasive inlet plenum for single module collector</t>
  </si>
  <si>
    <t>ABIN 2</t>
  </si>
  <si>
    <t>abrasive inlet plenum for double module collector</t>
  </si>
  <si>
    <t>abrasive inlet plenum for triple module collector</t>
  </si>
  <si>
    <t>ABIN 3</t>
  </si>
  <si>
    <t>Hepa after-filter plenum</t>
  </si>
  <si>
    <t>HAFP 1</t>
  </si>
  <si>
    <t>HAFP 2</t>
  </si>
  <si>
    <t>HAFP 3</t>
  </si>
  <si>
    <t>HAPF 4</t>
  </si>
  <si>
    <t>HAFP 6</t>
  </si>
  <si>
    <t>HAFP 8</t>
  </si>
  <si>
    <t>HAFP 9</t>
  </si>
  <si>
    <t>Proposal Number</t>
  </si>
  <si>
    <t xml:space="preserve"> </t>
  </si>
  <si>
    <t>Proposed Equipment</t>
  </si>
  <si>
    <t>N/A</t>
  </si>
  <si>
    <t>Yes</t>
  </si>
  <si>
    <t>No</t>
  </si>
  <si>
    <t>Date</t>
  </si>
  <si>
    <t>Customer</t>
  </si>
  <si>
    <t>Application</t>
  </si>
  <si>
    <t>Required Airflow</t>
  </si>
  <si>
    <t>Hepa After-Filter</t>
  </si>
  <si>
    <t>In-line Spark Trap</t>
  </si>
  <si>
    <t>ST 8</t>
  </si>
  <si>
    <t>8" in-line spark trap with access door</t>
  </si>
  <si>
    <t>ST 10</t>
  </si>
  <si>
    <t>10" in-line spark trap with access door</t>
  </si>
  <si>
    <t>ST 11</t>
  </si>
  <si>
    <t>11" in-line spark trap with access door</t>
  </si>
  <si>
    <t>ST 12</t>
  </si>
  <si>
    <t>12" in-line spark trap with access door</t>
  </si>
  <si>
    <t>ST 13</t>
  </si>
  <si>
    <t>13" in-line spark trap with access door</t>
  </si>
  <si>
    <t>ST 14</t>
  </si>
  <si>
    <t>14" in-line spark trap with access door</t>
  </si>
  <si>
    <t>ST 15</t>
  </si>
  <si>
    <t>15" in-line spark trap with access door</t>
  </si>
  <si>
    <t>ST 16</t>
  </si>
  <si>
    <t>16" in-line spark trap with access door</t>
  </si>
  <si>
    <t>ST 17</t>
  </si>
  <si>
    <t>17" in-line spark trap with access door</t>
  </si>
  <si>
    <t>ST 18</t>
  </si>
  <si>
    <t>18" in-line spark trap with access door</t>
  </si>
  <si>
    <t>ST 19</t>
  </si>
  <si>
    <t>19" in-line spark trap with access door</t>
  </si>
  <si>
    <t>ST 20</t>
  </si>
  <si>
    <t>20" in-line spark trap with access door</t>
  </si>
  <si>
    <t>ST 21</t>
  </si>
  <si>
    <t>21" in-line spark trap with access door</t>
  </si>
  <si>
    <t>ST 22</t>
  </si>
  <si>
    <t>22" in-line spark trap with access door</t>
  </si>
  <si>
    <t>ST 23</t>
  </si>
  <si>
    <t>23" in-line spark trap with access door</t>
  </si>
  <si>
    <t>ST 24</t>
  </si>
  <si>
    <t>24" in-line spark trap with access door</t>
  </si>
  <si>
    <t>Rotary Air Lock Adapter</t>
  </si>
  <si>
    <t>ADPT</t>
  </si>
  <si>
    <t xml:space="preserve">adapter to bolt air lock to hopper.  Price is </t>
  </si>
  <si>
    <t>per hopper</t>
  </si>
  <si>
    <t>Explosion vents</t>
  </si>
  <si>
    <t>EXP1218</t>
  </si>
  <si>
    <t>EXP2424</t>
  </si>
  <si>
    <t>EXP1835</t>
  </si>
  <si>
    <t>EXP2436</t>
  </si>
  <si>
    <t>EXP3636</t>
  </si>
  <si>
    <t>EXP3644</t>
  </si>
  <si>
    <t>Steel Connector</t>
  </si>
  <si>
    <t>Descrition</t>
  </si>
  <si>
    <t>SC1</t>
  </si>
  <si>
    <t>for collectors with 1 hopper</t>
  </si>
  <si>
    <t>SC2</t>
  </si>
  <si>
    <t>for collectors with 2 hoppers</t>
  </si>
  <si>
    <t>SC3</t>
  </si>
  <si>
    <t>for collectors with 3 hoppers</t>
  </si>
  <si>
    <t>SC4</t>
  </si>
  <si>
    <t>for collectors with 4 hoppers</t>
  </si>
  <si>
    <t>SC5</t>
  </si>
  <si>
    <t>for collectors with 5 hoppers</t>
  </si>
  <si>
    <t>SC6</t>
  </si>
  <si>
    <t>for collectors with 6 hoppers</t>
  </si>
  <si>
    <t>SC7</t>
  </si>
  <si>
    <t>for collectors with 7 hoppers</t>
  </si>
  <si>
    <t>Drum lid latch ring</t>
  </si>
  <si>
    <t>DLR1</t>
  </si>
  <si>
    <t xml:space="preserve">for collectors with 1 drum </t>
  </si>
  <si>
    <t>DLR2</t>
  </si>
  <si>
    <t>for collectors with 2 drums</t>
  </si>
  <si>
    <t>DLR3</t>
  </si>
  <si>
    <t>for collectors with 3 drums</t>
  </si>
  <si>
    <t>DLR4</t>
  </si>
  <si>
    <t>for collectors with 4 drums</t>
  </si>
  <si>
    <t>DLR5</t>
  </si>
  <si>
    <t>for collectors with 5 drums</t>
  </si>
  <si>
    <t>DLR6</t>
  </si>
  <si>
    <t>for collectors with 6 drums</t>
  </si>
  <si>
    <t>DLR7</t>
  </si>
  <si>
    <t>for collectors with 7 drums</t>
  </si>
  <si>
    <t>Slide Gate</t>
  </si>
  <si>
    <t>SG1</t>
  </si>
  <si>
    <t>slide gate for collectors with 1 hopper</t>
  </si>
  <si>
    <t>SG2</t>
  </si>
  <si>
    <t>slide gate for collectors with 2 hoppers</t>
  </si>
  <si>
    <t>SG3</t>
  </si>
  <si>
    <t>slide gate for collectors with 3 hoppers</t>
  </si>
  <si>
    <t>SG4</t>
  </si>
  <si>
    <t>slide gate for collectors with 4 hoppers</t>
  </si>
  <si>
    <t>SG5</t>
  </si>
  <si>
    <t>slide gate for collectors with 5 hoppers</t>
  </si>
  <si>
    <t>SG6</t>
  </si>
  <si>
    <t>slide gate for collectors with 6 hoppers</t>
  </si>
  <si>
    <t>SG7</t>
  </si>
  <si>
    <t>slide gate for collectors with 7 hoppers</t>
  </si>
  <si>
    <t>Sprinkler Coupler</t>
  </si>
  <si>
    <t>sprinkler coupler for collectors with 1 module</t>
  </si>
  <si>
    <t>sprinkler coupler for collectors with 2 modules</t>
  </si>
  <si>
    <t>sprinkler coupler for collectors with 3 modules</t>
  </si>
  <si>
    <t>sprinkler coupler for collectors with 4 modules</t>
  </si>
  <si>
    <t>sprinkler coupler for collectors with 5 modules</t>
  </si>
  <si>
    <t>sprinkler coupler for collectors with 6 modules</t>
  </si>
  <si>
    <t>sprinkler coupler for collectors with 7 modules</t>
  </si>
  <si>
    <t>Solenoid Heater Kit</t>
  </si>
  <si>
    <t>SHK1</t>
  </si>
  <si>
    <t>Solenoid heater kit for cold  weather installation</t>
  </si>
  <si>
    <t>for collectors with 1 module</t>
  </si>
  <si>
    <t>SHK2</t>
  </si>
  <si>
    <t>for collectors with 2 modules</t>
  </si>
  <si>
    <t>SHK3</t>
  </si>
  <si>
    <t>for collectors with 3 modules</t>
  </si>
  <si>
    <t>SHK4</t>
  </si>
  <si>
    <t>for collectors with 4 modules</t>
  </si>
  <si>
    <t>SHK5</t>
  </si>
  <si>
    <t>for collectors with 5 modules</t>
  </si>
  <si>
    <t>Single Hopper</t>
  </si>
  <si>
    <t>SHP</t>
  </si>
  <si>
    <t>single hopper for two modules</t>
  </si>
  <si>
    <t>LEXT</t>
  </si>
  <si>
    <t>leg extensions for single hopper</t>
  </si>
  <si>
    <t>Control Panels</t>
  </si>
  <si>
    <t>5-230</t>
  </si>
  <si>
    <t>5-460</t>
  </si>
  <si>
    <t>7.5-230</t>
  </si>
  <si>
    <t>7.5-460</t>
  </si>
  <si>
    <t>10-230</t>
  </si>
  <si>
    <t>10-460</t>
  </si>
  <si>
    <t>15-230</t>
  </si>
  <si>
    <t>15-460</t>
  </si>
  <si>
    <t>20-230</t>
  </si>
  <si>
    <t>20-460</t>
  </si>
  <si>
    <t>25-230</t>
  </si>
  <si>
    <t>25-460</t>
  </si>
  <si>
    <t>30-230</t>
  </si>
  <si>
    <t>30-460</t>
  </si>
  <si>
    <t>40-230</t>
  </si>
  <si>
    <t>40-460</t>
  </si>
  <si>
    <t>50-230</t>
  </si>
  <si>
    <t>50-460</t>
  </si>
  <si>
    <t>60-460</t>
  </si>
  <si>
    <t>80-460</t>
  </si>
  <si>
    <t>Filter Upgrade</t>
  </si>
  <si>
    <t>adder</t>
  </si>
  <si>
    <t>22412-1</t>
  </si>
  <si>
    <t>12" x 18" explosion relief panel.  1.36 sq ft vent area.  Domed for durability.  Kst value required.</t>
  </si>
  <si>
    <t>24" x 24" explosion relief panel.  3.75 sq ft vent area.  Domed for durability.  Kst value required.</t>
  </si>
  <si>
    <t>18" x 35" explosion relief panel.  4.13 sq ft vent area.  Domed for durability.  Kst value required.</t>
  </si>
  <si>
    <t>24" x 36" explosion relief panel. 5.72 sq ft vent area.  Domed for durability.  Kst value required.</t>
  </si>
  <si>
    <t>36" x 36" explosion relief panel.  8.63 sq ft vent area.  Domed for durability.  Kst value required.</t>
  </si>
  <si>
    <t>36" x 44" explosion relief panel.  10.6 sq ft vent area.  Domed for durability.  Kst value required.</t>
  </si>
  <si>
    <t>fan</t>
  </si>
  <si>
    <t>silencer</t>
  </si>
  <si>
    <t>damper</t>
  </si>
  <si>
    <t>Damper for TCBI 3, opposed blade</t>
  </si>
  <si>
    <t>Damper for TCBI 5, opposed blade</t>
  </si>
  <si>
    <t>Damper for TCBI 7.5, opposed blade</t>
  </si>
  <si>
    <t>Damper for TCBI 10, opposed blade</t>
  </si>
  <si>
    <t>Damper for TCBI 15, opposed blade</t>
  </si>
  <si>
    <t>Damper for TCBI 20, opposed blade</t>
  </si>
  <si>
    <t>Damper for TCBI 25, opposed blade</t>
  </si>
  <si>
    <t>Damper for TCBI 30, opposed blade</t>
  </si>
  <si>
    <t>Damper for 12,000 CFM fan, parallel blade</t>
  </si>
  <si>
    <t>Damper for 14,000 CFM fan, parallel blade</t>
  </si>
  <si>
    <t>Damper for 16,000 CFM fan, parallel blade</t>
  </si>
  <si>
    <t>Damper for 18,000 CFM fan, parallel blade</t>
  </si>
  <si>
    <t>Damper for 20,000 CFM fan, parallel blade</t>
  </si>
  <si>
    <t>Accessories</t>
  </si>
  <si>
    <t>Explosion Vents</t>
  </si>
  <si>
    <t>Drum Lid Latch Ring</t>
  </si>
  <si>
    <t>Abrasive  inlet plenum</t>
  </si>
  <si>
    <t>8"</t>
  </si>
  <si>
    <t>10"</t>
  </si>
  <si>
    <t>11"</t>
  </si>
  <si>
    <t>12"</t>
  </si>
  <si>
    <t>13"</t>
  </si>
  <si>
    <t>14"</t>
  </si>
  <si>
    <t>15"</t>
  </si>
  <si>
    <t>16"</t>
  </si>
  <si>
    <t>17"</t>
  </si>
  <si>
    <t>18"</t>
  </si>
  <si>
    <t>19"</t>
  </si>
  <si>
    <t>20"</t>
  </si>
  <si>
    <t>21"</t>
  </si>
  <si>
    <t>22"</t>
  </si>
  <si>
    <t>23"</t>
  </si>
  <si>
    <t>24"</t>
  </si>
  <si>
    <t>1 Latch ring for each hopper</t>
  </si>
  <si>
    <t>1 Slide gate for each hopper</t>
  </si>
  <si>
    <t>Adapter to bolt air lock to hopper (price per hopper)</t>
  </si>
  <si>
    <t>1 Slide gate per hopper</t>
  </si>
  <si>
    <t>1 Latch ring per drum</t>
  </si>
  <si>
    <t>Leg Extensions</t>
  </si>
  <si>
    <t xml:space="preserve">       Single hopper for two modules</t>
  </si>
  <si>
    <t xml:space="preserve">       Leg extensions for single hopper</t>
  </si>
  <si>
    <t>Steel connection from hopper to drum lid</t>
  </si>
  <si>
    <t>5HP All-in-one starter/disconnect/timer board/digital pressure gage 460V 3ph</t>
  </si>
  <si>
    <t>5HP All-in-one starter/disconnect/timer board/digital pressure gage 230V 3 phase</t>
  </si>
  <si>
    <t>7.5HP All-in-one starter/disconnect/timer board/digital pressure gage 230V 3ph</t>
  </si>
  <si>
    <t>10HP All-in-one starter/disconnect/timer board/digital pressure gage 230V 3ph</t>
  </si>
  <si>
    <t>7.5HP All-in-one starter/disconnect/timer board/digital pressure gage 460V 3ph</t>
  </si>
  <si>
    <t>10HP All-in-one starter/disconnect/timer board/digital pressure gage 460V 3ph</t>
  </si>
  <si>
    <t>15HP All-in-one starter/disconnect/timer board/digital pressure gage 230V 3ph</t>
  </si>
  <si>
    <t>15HP All-in-one starter/disconnect/timer board/digital pressure gage 460V 3ph</t>
  </si>
  <si>
    <t>20HP All-in-one starter/disconnect/timer board/digital pressure gage 230V 3ph</t>
  </si>
  <si>
    <t>20HP All-in-one starter/disconnect/timer board/digital pressure gage 460V 3ph</t>
  </si>
  <si>
    <t>25HP All-in-one starter/disconnect/timer board/digital pressure gage 230V 3ph</t>
  </si>
  <si>
    <t>25HP All-in-one starter/disconnect/timer board/digital pressure gage 460V 3ph</t>
  </si>
  <si>
    <t>30HP All-in-one starter/disconnect/timer board/digital pressure gage 230V 3ph</t>
  </si>
  <si>
    <t>30HP All-in-one starter/disconnect/timer board/digital pressure gage 460V 3ph</t>
  </si>
  <si>
    <t>40HP All-in-one starter/disconnect/timer board/digital pressure gage 230V 3ph</t>
  </si>
  <si>
    <t>40HP All-in-one starter/disconnect/timer board/digital pressure gage 460V 3ph</t>
  </si>
  <si>
    <t>50HP All-in-one starter/disconnect/timer board/digital pressure gage 230V 3ph</t>
  </si>
  <si>
    <t>50HP All-in-one starter/disconnect/timer board/digital pressure gage 460V 3ph</t>
  </si>
  <si>
    <t>60HP All-in-one starter/disconnect/timer board/digital pressure gage 460V 3ph</t>
  </si>
  <si>
    <t>Solenoid heater kit for cold weather installation</t>
  </si>
  <si>
    <t>Selection</t>
  </si>
  <si>
    <t>#</t>
  </si>
  <si>
    <t>1 Sprinkler coupler for each module</t>
  </si>
  <si>
    <t>ACT Nano-Elite, flame-retardant, Nano-Fiber media with industry best Merv 15 efficiency</t>
  </si>
  <si>
    <t>ACT Poly-Elite, spun-bond polyester media with 100 sq ft of media per filter</t>
  </si>
  <si>
    <t>Total</t>
  </si>
  <si>
    <t>Multiplier</t>
  </si>
  <si>
    <t>·         ACT Nano-Elite, flame-retardant, Nano-Fiber media with industry best Merv 15 efficiency</t>
  </si>
  <si>
    <t>·         ACT Poly-Elite, spun-bond polyester media with 100 sq ft of media per filter</t>
  </si>
  <si>
    <t>Each module lined for abrasion resistance</t>
  </si>
  <si>
    <t>3HP motor with direct drive, top mount fan</t>
  </si>
  <si>
    <t>Silencer for TCBI 3</t>
  </si>
  <si>
    <t>Silencer for TCBI 5</t>
  </si>
  <si>
    <t xml:space="preserve">Silencer for TCBI 7.5 </t>
  </si>
  <si>
    <t>Silencer for TCBI 10</t>
  </si>
  <si>
    <t>Silencer for TCBI 15</t>
  </si>
  <si>
    <t>Silencer for TCBI 20</t>
  </si>
  <si>
    <t>Silencer for TCBI 25</t>
  </si>
  <si>
    <t>Silencer for TCBI 30</t>
  </si>
  <si>
    <t>Silencer for BCS 330</t>
  </si>
  <si>
    <t>5HP motor with direct drive, top mount fan</t>
  </si>
  <si>
    <t>7.5HP motor with direct drive, top mount fan</t>
  </si>
  <si>
    <t>10HP motor with direct drive, top mount fan</t>
  </si>
  <si>
    <t>15HP motor with direct drive, top mount fan</t>
  </si>
  <si>
    <t>20HP motor with direct drive, top mount fan</t>
  </si>
  <si>
    <t>25HP motor with direct drive, top mount fan</t>
  </si>
  <si>
    <t>30HP motor with direct drive, top mount fan</t>
  </si>
  <si>
    <t>40HP motor with direct drive, ground mount fan</t>
  </si>
  <si>
    <t>50HP motor with direct drive, ground mount fan</t>
  </si>
  <si>
    <t>30HP motor with direct drive, ground mount fan</t>
  </si>
  <si>
    <t>Hepa after filter plenum for up to 2,000 CFM includes Hepa filter (transitions not included)</t>
  </si>
  <si>
    <t>Hepa after filter plenum for up to 4,000 CFM includes Hepa filter (transitions not included)</t>
  </si>
  <si>
    <t>Hepa after filter plenum for up to 6,000 CFM includes Hepa filter (transitions not included)</t>
  </si>
  <si>
    <t>Hepa after filter plenum for up to 8,000 CFM includes Hepa filter (transitions not included)</t>
  </si>
  <si>
    <t>Hepa after fitler plenum for up to 12,000 CFM includes Hepa filter (transitions not included)</t>
  </si>
  <si>
    <t>Hepa after filter plenum for up to 16,000 CFM includes Hepa filter (transitions not included)</t>
  </si>
  <si>
    <t>Hepa after filter plenum for up to 18,000 CFM includes Hepa filter (transitions not included)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</si>
  <si>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ACT Nano-Elite, Nano-Fiber filters with industry best Merv 15 efficiency</t>
    </r>
  </si>
  <si>
    <t>Rotary Air Locks</t>
  </si>
  <si>
    <t>DCS-6</t>
  </si>
  <si>
    <t>DCS-8</t>
  </si>
  <si>
    <t>DCS-10</t>
  </si>
  <si>
    <t>DCS-12</t>
  </si>
  <si>
    <t>BNW</t>
  </si>
  <si>
    <t>Bolt-on neoprene wipers</t>
  </si>
  <si>
    <t>Rotary Air Lock</t>
  </si>
  <si>
    <t>Abrasive Inlet Plenum</t>
  </si>
  <si>
    <t>Bolt-on Neoprene Wipers</t>
  </si>
  <si>
    <t>12" dust collector duty rotary air lock, 1 HP, 29RPM, direct drive</t>
  </si>
  <si>
    <t>10" dust collector duty rotary air lock, 3/4 HP, 29RPM, direct drive</t>
  </si>
  <si>
    <t>8" dust collector duty rotary air lock, 1/2 HP, 29RPM, direct drive</t>
  </si>
  <si>
    <t>6" dust collector duty rotary air lock, 1/3 HP, 29RPM, direct drive</t>
  </si>
  <si>
    <t>Bolt-on Neoprene Wipers for Rotary Air Lock</t>
  </si>
  <si>
    <t>Back Draft Damper</t>
  </si>
  <si>
    <t>BDD 8</t>
  </si>
  <si>
    <t>8" back draft damper</t>
  </si>
  <si>
    <t>BDD 10</t>
  </si>
  <si>
    <t>10" back draft damper</t>
  </si>
  <si>
    <t>BDD 12</t>
  </si>
  <si>
    <t>12" back draft damper</t>
  </si>
  <si>
    <t>BDD 14</t>
  </si>
  <si>
    <t>14" back draft damper</t>
  </si>
  <si>
    <t>BDD 16</t>
  </si>
  <si>
    <t>16" back draft damper</t>
  </si>
  <si>
    <t>BDD 17</t>
  </si>
  <si>
    <t>17" back draft damper</t>
  </si>
  <si>
    <t>BDD 18</t>
  </si>
  <si>
    <t>18" back draft damper</t>
  </si>
  <si>
    <t>BDD 20</t>
  </si>
  <si>
    <t>20" back draft damper</t>
  </si>
  <si>
    <t>BDD 22</t>
  </si>
  <si>
    <t>22" back draft damper</t>
  </si>
  <si>
    <t>BDD 24</t>
  </si>
  <si>
    <t>24" back draft damper</t>
  </si>
  <si>
    <t>BDD 26</t>
  </si>
  <si>
    <t>26" back draft damper</t>
  </si>
  <si>
    <t>BDD 28</t>
  </si>
  <si>
    <t>28" back draft damper</t>
  </si>
  <si>
    <t>BDD 30</t>
  </si>
  <si>
    <t>30" back draft damper</t>
  </si>
  <si>
    <t>BDD 32</t>
  </si>
  <si>
    <t>32" back draft damper</t>
  </si>
  <si>
    <t>BDD 34</t>
  </si>
  <si>
    <t>34" back draft damper</t>
  </si>
  <si>
    <t>BDD 36</t>
  </si>
  <si>
    <t>36" back draft damper</t>
  </si>
  <si>
    <t>In-line spark trap with access door</t>
  </si>
  <si>
    <t>sprinkler coupler for collectors with 8 modules</t>
  </si>
  <si>
    <t>SC8</t>
  </si>
  <si>
    <t>SHK6</t>
  </si>
  <si>
    <t>for collectors with 6 modules</t>
  </si>
  <si>
    <t>SHK7</t>
  </si>
  <si>
    <t>for collectors with 7 modules</t>
  </si>
  <si>
    <t>SHK8</t>
  </si>
  <si>
    <t>for collectors with 8 modules</t>
  </si>
  <si>
    <t>N/C</t>
  </si>
  <si>
    <t>ABIN 4</t>
  </si>
  <si>
    <t>ABIN 5</t>
  </si>
  <si>
    <t>abrasive inlet plenum for four module collector</t>
  </si>
  <si>
    <t>abrasive inlet plenum for five module collector</t>
  </si>
  <si>
    <t>ABIN 6</t>
  </si>
  <si>
    <t>abrasive inlet plenum for six module collector</t>
  </si>
  <si>
    <t>ABIN 7</t>
  </si>
  <si>
    <t>ABIN 8</t>
  </si>
  <si>
    <t>abrasive inlet plenum for seven module collector</t>
  </si>
  <si>
    <t>abrasive inlet plenum for eight module collector</t>
  </si>
  <si>
    <t>SG8</t>
  </si>
  <si>
    <t>slide gate for collectors with 8 hoppers</t>
  </si>
  <si>
    <t>for collectors with 8 hoppers</t>
  </si>
  <si>
    <t>·         ACT Nano-Elite, Nano-Fiber media with industry best Merv 15 efficiency</t>
  </si>
  <si>
    <t>1,000 CFM @ 10"</t>
  </si>
  <si>
    <t>2,000 CFM @ 10"</t>
  </si>
  <si>
    <t>3,000 CFM @ 10"</t>
  </si>
  <si>
    <t>4,000 CFM @ 10"</t>
  </si>
  <si>
    <t>5,800 CFM @ 10"</t>
  </si>
  <si>
    <t>7,800 CFM @ 10"</t>
  </si>
  <si>
    <t>8,600 CFM @ 10"</t>
  </si>
  <si>
    <t>10,400 CFM @ 12"</t>
  </si>
  <si>
    <t>12,000 CFM @ 12"</t>
  </si>
  <si>
    <t>14,000 CFM @ 12"</t>
  </si>
  <si>
    <t>16,000 CFM @ 12"</t>
  </si>
  <si>
    <t>18,000 CFM @ 12"</t>
  </si>
  <si>
    <t>20,000 CFM @ 12"</t>
  </si>
  <si>
    <t>ACT Nano-Elite, Nano-Fiber media with industry best Merv 15 efficiency</t>
  </si>
  <si>
    <t>Filter Options</t>
  </si>
  <si>
    <t>75HP All-in-one starter/disconnect/timer board/digital pressure gage 460V 3ph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</si>
</sst>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left" vertical="center" indent="5"/>
    </xf>
    <xf numFmtId="164" fontId="0" fillId="0" borderId="0" xfId="0" applyNumberFormat="1"/>
    <xf numFmtId="164" fontId="0" fillId="0" borderId="0" xfId="1" applyNumberFormat="1" applyFont="1"/>
    <xf numFmtId="0" fontId="7" fillId="0" borderId="0" xfId="0" applyFont="1"/>
    <xf numFmtId="0" fontId="8" fillId="0" borderId="0" xfId="0" applyFont="1"/>
    <xf numFmtId="15" fontId="7" fillId="0" borderId="0" xfId="0" applyNumberFormat="1" applyFont="1" applyAlignment="1">
      <alignment horizontal="left"/>
    </xf>
    <xf numFmtId="0" fontId="5" fillId="0" borderId="0" xfId="0" applyFont="1"/>
    <xf numFmtId="44" fontId="0" fillId="0" borderId="0" xfId="1" applyFont="1"/>
    <xf numFmtId="1" fontId="0" fillId="0" borderId="0" xfId="0" applyNumberFormat="1"/>
    <xf numFmtId="0" fontId="5" fillId="0" borderId="0" xfId="0" applyFont="1" applyAlignment="1">
      <alignment horizontal="left"/>
    </xf>
    <xf numFmtId="3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6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Font="1" applyBorder="1"/>
    <xf numFmtId="44" fontId="0" fillId="0" borderId="13" xfId="1" applyFont="1" applyBorder="1"/>
    <xf numFmtId="0" fontId="0" fillId="0" borderId="14" xfId="0" applyFont="1" applyBorder="1"/>
    <xf numFmtId="44" fontId="0" fillId="0" borderId="15" xfId="1" applyFont="1" applyBorder="1"/>
    <xf numFmtId="0" fontId="0" fillId="0" borderId="12" xfId="0" applyBorder="1"/>
    <xf numFmtId="44" fontId="0" fillId="0" borderId="13" xfId="1" applyFont="1" applyBorder="1" applyAlignment="1">
      <alignment vertical="center"/>
    </xf>
    <xf numFmtId="0" fontId="0" fillId="0" borderId="18" xfId="0" applyBorder="1"/>
    <xf numFmtId="44" fontId="0" fillId="0" borderId="22" xfId="1" applyFont="1" applyBorder="1"/>
    <xf numFmtId="44" fontId="5" fillId="0" borderId="25" xfId="1" applyFont="1" applyBorder="1"/>
    <xf numFmtId="0" fontId="0" fillId="0" borderId="12" xfId="0" applyBorder="1" applyAlignment="1">
      <alignment vertical="center"/>
    </xf>
    <xf numFmtId="0" fontId="0" fillId="0" borderId="16" xfId="0" applyBorder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left" vertical="center" indent="5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Fill="1" applyBorder="1"/>
    <xf numFmtId="44" fontId="0" fillId="0" borderId="13" xfId="1" applyFont="1" applyBorder="1" applyAlignment="1">
      <alignment horizontal="right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1" xfId="0" applyBorder="1" applyAlignment="1"/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0" fillId="0" borderId="1" xfId="0" applyNumberFormat="1" applyBorder="1"/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2" borderId="0" xfId="0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F$34" lockText="1" noThreeD="1"/>
</file>

<file path=xl/ctrlProps/ctrlProp10.xml><?xml version="1.0" encoding="utf-8"?>
<formControlPr xmlns="http://schemas.microsoft.com/office/spreadsheetml/2009/9/main" objectType="CheckBox" checked="Checked" fmlaLink="$AF$50" lockText="1" noThreeD="1"/>
</file>

<file path=xl/ctrlProps/ctrlProp11.xml><?xml version="1.0" encoding="utf-8"?>
<formControlPr xmlns="http://schemas.microsoft.com/office/spreadsheetml/2009/9/main" objectType="CheckBox" checked="Checked" fmlaLink="$AF$51" lockText="1" noThreeD="1"/>
</file>

<file path=xl/ctrlProps/ctrlProp12.xml><?xml version="1.0" encoding="utf-8"?>
<formControlPr xmlns="http://schemas.microsoft.com/office/spreadsheetml/2009/9/main" objectType="CheckBox" fmlaLink="$AF$39" lockText="1" noThreeD="1"/>
</file>

<file path=xl/ctrlProps/ctrlProp13.xml><?xml version="1.0" encoding="utf-8"?>
<formControlPr xmlns="http://schemas.microsoft.com/office/spreadsheetml/2009/9/main" objectType="CheckBox" fmlaLink="$AF$38" lockText="1" noThreeD="1"/>
</file>

<file path=xl/ctrlProps/ctrlProp14.xml><?xml version="1.0" encoding="utf-8"?>
<formControlPr xmlns="http://schemas.microsoft.com/office/spreadsheetml/2009/9/main" objectType="CheckBox" checked="Checked" fmlaLink="$AF$41" lockText="1" noThreeD="1"/>
</file>

<file path=xl/ctrlProps/ctrlProp15.xml><?xml version="1.0" encoding="utf-8"?>
<formControlPr xmlns="http://schemas.microsoft.com/office/spreadsheetml/2009/9/main" objectType="CheckBox" fmlaLink="$AF$48" lockText="1" noThreeD="1"/>
</file>

<file path=xl/ctrlProps/ctrlProp16.xml><?xml version="1.0" encoding="utf-8"?>
<formControlPr xmlns="http://schemas.microsoft.com/office/spreadsheetml/2009/9/main" objectType="CheckBox" fmlaLink="$AF$45" lockText="1" noThreeD="1"/>
</file>

<file path=xl/ctrlProps/ctrlProp17.xml><?xml version="1.0" encoding="utf-8"?>
<formControlPr xmlns="http://schemas.microsoft.com/office/spreadsheetml/2009/9/main" objectType="CheckBox" fmlaLink="$AF$46" lockText="1" noThreeD="1"/>
</file>

<file path=xl/ctrlProps/ctrlProp18.xml><?xml version="1.0" encoding="utf-8"?>
<formControlPr xmlns="http://schemas.microsoft.com/office/spreadsheetml/2009/9/main" objectType="CheckBox" checked="Checked" fmlaLink="$AF$52" lockText="1" noThreeD="1"/>
</file>

<file path=xl/ctrlProps/ctrlProp19.xml><?xml version="1.0" encoding="utf-8"?>
<formControlPr xmlns="http://schemas.microsoft.com/office/spreadsheetml/2009/9/main" objectType="CheckBox" fmlaLink="$AF$40" lockText="1" noThreeD="1"/>
</file>

<file path=xl/ctrlProps/ctrlProp2.xml><?xml version="1.0" encoding="utf-8"?>
<formControlPr xmlns="http://schemas.microsoft.com/office/spreadsheetml/2009/9/main" objectType="CheckBox" fmlaLink="$AF$37" lockText="1" noThreeD="1"/>
</file>

<file path=xl/ctrlProps/ctrlProp3.xml><?xml version="1.0" encoding="utf-8"?>
<formControlPr xmlns="http://schemas.microsoft.com/office/spreadsheetml/2009/9/main" objectType="CheckBox" checked="Checked" fmlaLink="$AF$36" lockText="1" noThreeD="1"/>
</file>

<file path=xl/ctrlProps/ctrlProp4.xml><?xml version="1.0" encoding="utf-8"?>
<formControlPr xmlns="http://schemas.microsoft.com/office/spreadsheetml/2009/9/main" objectType="CheckBox" checked="Checked" fmlaLink="$AF$35" lockText="1" noThreeD="1"/>
</file>

<file path=xl/ctrlProps/ctrlProp5.xml><?xml version="1.0" encoding="utf-8"?>
<formControlPr xmlns="http://schemas.microsoft.com/office/spreadsheetml/2009/9/main" objectType="CheckBox" fmlaLink="$AF$44" lockText="1" noThreeD="1"/>
</file>

<file path=xl/ctrlProps/ctrlProp6.xml><?xml version="1.0" encoding="utf-8"?>
<formControlPr xmlns="http://schemas.microsoft.com/office/spreadsheetml/2009/9/main" objectType="CheckBox" checked="Checked" fmlaLink="$AF$42" lockText="1" noThreeD="1"/>
</file>

<file path=xl/ctrlProps/ctrlProp7.xml><?xml version="1.0" encoding="utf-8"?>
<formControlPr xmlns="http://schemas.microsoft.com/office/spreadsheetml/2009/9/main" objectType="CheckBox" fmlaLink="$AF$43" lockText="1" noThreeD="1"/>
</file>

<file path=xl/ctrlProps/ctrlProp8.xml><?xml version="1.0" encoding="utf-8"?>
<formControlPr xmlns="http://schemas.microsoft.com/office/spreadsheetml/2009/9/main" objectType="CheckBox" fmlaLink="$AF$47" lockText="1" noThreeD="1"/>
</file>

<file path=xl/ctrlProps/ctrlProp9.xml><?xml version="1.0" encoding="utf-8"?>
<formControlPr xmlns="http://schemas.microsoft.com/office/spreadsheetml/2009/9/main" objectType="CheckBox" fmlaLink="$AF$4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262042</xdr:colOff>
      <xdr:row>0</xdr:row>
      <xdr:rowOff>19051</xdr:rowOff>
    </xdr:from>
    <xdr:to>
      <xdr:col>10</xdr:col>
      <xdr:colOff>705971</xdr:colOff>
      <xdr:row>17</xdr:row>
      <xdr:rowOff>106739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07" t="759"/>
        <a:stretch/>
      </xdr:blipFill>
      <xdr:spPr>
        <a:xfrm>
          <a:off x="5147807" y="19051"/>
          <a:ext cx="1564517" cy="3326188"/>
        </a:xfrm>
        <a:prstGeom prst="rect">
          <a:avLst/>
        </a:prstGeom>
      </xdr:spPr>
    </xdr:pic>
    <xdr:clientData/>
  </xdr:twoCellAnchor>
  <xdr:oneCellAnchor>
    <xdr:from>
      <xdr:col>1</xdr:col>
      <xdr:colOff>593912</xdr:colOff>
      <xdr:row>0</xdr:row>
      <xdr:rowOff>0</xdr:rowOff>
    </xdr:from>
    <xdr:ext cx="3646399" cy="1257300"/>
    <xdr:sp macro="" textlink="">
      <xdr:nvSpPr>
        <xdr:cNvPr id="4" name="Rectangle 3"/>
        <xdr:cNvSpPr/>
      </xdr:nvSpPr>
      <xdr:spPr>
        <a:xfrm>
          <a:off x="806824" y="0"/>
          <a:ext cx="3646399" cy="12573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36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371475</xdr:rowOff>
        </xdr:from>
        <xdr:to>
          <xdr:col>1</xdr:col>
          <xdr:colOff>133350</xdr:colOff>
          <xdr:row>34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35</xdr:row>
          <xdr:rowOff>171450</xdr:rowOff>
        </xdr:from>
        <xdr:to>
          <xdr:col>1</xdr:col>
          <xdr:colOff>142875</xdr:colOff>
          <xdr:row>37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34</xdr:row>
          <xdr:rowOff>171450</xdr:rowOff>
        </xdr:from>
        <xdr:to>
          <xdr:col>1</xdr:col>
          <xdr:colOff>142875</xdr:colOff>
          <xdr:row>36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33</xdr:row>
          <xdr:rowOff>161925</xdr:rowOff>
        </xdr:from>
        <xdr:to>
          <xdr:col>1</xdr:col>
          <xdr:colOff>114300</xdr:colOff>
          <xdr:row>35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42</xdr:row>
          <xdr:rowOff>180975</xdr:rowOff>
        </xdr:from>
        <xdr:to>
          <xdr:col>1</xdr:col>
          <xdr:colOff>142875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180975</xdr:rowOff>
        </xdr:from>
        <xdr:to>
          <xdr:col>1</xdr:col>
          <xdr:colOff>142875</xdr:colOff>
          <xdr:row>42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41</xdr:row>
          <xdr:rowOff>180975</xdr:rowOff>
        </xdr:from>
        <xdr:to>
          <xdr:col>1</xdr:col>
          <xdr:colOff>142875</xdr:colOff>
          <xdr:row>43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45</xdr:row>
          <xdr:rowOff>171450</xdr:rowOff>
        </xdr:from>
        <xdr:to>
          <xdr:col>3</xdr:col>
          <xdr:colOff>381000</xdr:colOff>
          <xdr:row>47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48</xdr:row>
          <xdr:rowOff>76200</xdr:rowOff>
        </xdr:from>
        <xdr:to>
          <xdr:col>1</xdr:col>
          <xdr:colOff>142875</xdr:colOff>
          <xdr:row>48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76200</xdr:rowOff>
        </xdr:from>
        <xdr:to>
          <xdr:col>1</xdr:col>
          <xdr:colOff>142875</xdr:colOff>
          <xdr:row>49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371475</xdr:rowOff>
        </xdr:from>
        <xdr:to>
          <xdr:col>1</xdr:col>
          <xdr:colOff>142875</xdr:colOff>
          <xdr:row>51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37</xdr:row>
          <xdr:rowOff>371475</xdr:rowOff>
        </xdr:from>
        <xdr:to>
          <xdr:col>1</xdr:col>
          <xdr:colOff>142875</xdr:colOff>
          <xdr:row>39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37</xdr:row>
          <xdr:rowOff>66675</xdr:rowOff>
        </xdr:from>
        <xdr:to>
          <xdr:col>1</xdr:col>
          <xdr:colOff>133350</xdr:colOff>
          <xdr:row>37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39</xdr:row>
          <xdr:rowOff>171450</xdr:rowOff>
        </xdr:from>
        <xdr:to>
          <xdr:col>1</xdr:col>
          <xdr:colOff>142875</xdr:colOff>
          <xdr:row>41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171450</xdr:rowOff>
        </xdr:from>
        <xdr:to>
          <xdr:col>3</xdr:col>
          <xdr:colOff>381000</xdr:colOff>
          <xdr:row>48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171450</xdr:rowOff>
        </xdr:from>
        <xdr:to>
          <xdr:col>1</xdr:col>
          <xdr:colOff>104775</xdr:colOff>
          <xdr:row>45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180975</xdr:rowOff>
        </xdr:from>
        <xdr:to>
          <xdr:col>1</xdr:col>
          <xdr:colOff>76200</xdr:colOff>
          <xdr:row>46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0</xdr:rowOff>
        </xdr:from>
        <xdr:to>
          <xdr:col>1</xdr:col>
          <xdr:colOff>9525</xdr:colOff>
          <xdr:row>51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180975</xdr:rowOff>
        </xdr:from>
        <xdr:to>
          <xdr:col>1</xdr:col>
          <xdr:colOff>9525</xdr:colOff>
          <xdr:row>40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941294</xdr:colOff>
      <xdr:row>0</xdr:row>
      <xdr:rowOff>0</xdr:rowOff>
    </xdr:from>
    <xdr:to>
      <xdr:col>7</xdr:col>
      <xdr:colOff>1042147</xdr:colOff>
      <xdr:row>6</xdr:row>
      <xdr:rowOff>109191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323" y="0"/>
          <a:ext cx="3529853" cy="1252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59"/>
  <sheetViews>
    <sheetView showGridLines="0" tabSelected="1" topLeftCell="A31" zoomScale="85" zoomScaleNormal="85" workbookViewId="0">
      <selection activeCell="C34" sqref="C34"/>
    </sheetView>
  </sheetViews>
  <sheetFormatPr defaultRowHeight="15" x14ac:dyDescent="0.25"/>
  <cols>
    <col min="1" max="1" width="3.140625" style="28" customWidth="1"/>
    <col min="2" max="2" width="9" customWidth="1"/>
    <col min="3" max="3" width="15.140625" style="28" customWidth="1"/>
    <col min="4" max="4" width="8.42578125" customWidth="1"/>
    <col min="5" max="5" width="11.85546875" customWidth="1"/>
    <col min="6" max="6" width="12.7109375" customWidth="1"/>
    <col min="7" max="7" width="3.140625" customWidth="1"/>
    <col min="8" max="8" width="16.140625" customWidth="1"/>
    <col min="9" max="9" width="8.42578125" customWidth="1"/>
    <col min="10" max="10" width="8.42578125" style="32" customWidth="1"/>
    <col min="11" max="11" width="12.7109375" customWidth="1"/>
    <col min="13" max="20" width="9.140625" customWidth="1"/>
    <col min="21" max="21" width="9.140625" style="28" customWidth="1"/>
    <col min="22" max="41" width="9.140625" customWidth="1"/>
  </cols>
  <sheetData>
    <row r="1" spans="1:38" x14ac:dyDescent="0.25">
      <c r="AF1" s="28"/>
    </row>
    <row r="2" spans="1:38" x14ac:dyDescent="0.25">
      <c r="AF2" s="28"/>
    </row>
    <row r="3" spans="1:38" x14ac:dyDescent="0.25">
      <c r="AJ3" s="28"/>
      <c r="AL3">
        <f>Lookup!C559</f>
        <v>22711</v>
      </c>
    </row>
    <row r="4" spans="1:38" x14ac:dyDescent="0.25">
      <c r="M4" s="29"/>
      <c r="AH4" s="1" t="s">
        <v>12</v>
      </c>
      <c r="AI4">
        <v>1</v>
      </c>
      <c r="AJ4" s="28">
        <v>1</v>
      </c>
      <c r="AK4">
        <v>2</v>
      </c>
      <c r="AL4">
        <f>AK4*Lookup!$I$559</f>
        <v>16</v>
      </c>
    </row>
    <row r="5" spans="1:38" x14ac:dyDescent="0.25">
      <c r="M5" s="28"/>
      <c r="AH5" t="s">
        <v>13</v>
      </c>
      <c r="AI5">
        <v>1</v>
      </c>
      <c r="AJ5" s="28">
        <v>1</v>
      </c>
      <c r="AK5">
        <v>2</v>
      </c>
      <c r="AL5" s="28">
        <f>AK5*Lookup!$I$559</f>
        <v>16</v>
      </c>
    </row>
    <row r="6" spans="1:38" x14ac:dyDescent="0.25">
      <c r="M6" s="28"/>
      <c r="AF6" s="12">
        <v>1000</v>
      </c>
      <c r="AH6" t="s">
        <v>17</v>
      </c>
      <c r="AI6">
        <v>1</v>
      </c>
      <c r="AJ6" s="28">
        <v>1</v>
      </c>
      <c r="AK6">
        <v>4</v>
      </c>
      <c r="AL6" s="28">
        <f>AK6*Lookup!$I$559</f>
        <v>32</v>
      </c>
    </row>
    <row r="7" spans="1:38" x14ac:dyDescent="0.25">
      <c r="M7" s="28"/>
      <c r="AF7" s="12">
        <v>2000</v>
      </c>
      <c r="AH7" t="s">
        <v>21</v>
      </c>
      <c r="AI7">
        <v>1</v>
      </c>
      <c r="AJ7" s="28">
        <v>1</v>
      </c>
      <c r="AK7">
        <v>6</v>
      </c>
      <c r="AL7" s="28">
        <f>AK7*Lookup!$I$559</f>
        <v>48</v>
      </c>
    </row>
    <row r="8" spans="1:38" x14ac:dyDescent="0.25">
      <c r="A8" s="122" t="s">
        <v>161</v>
      </c>
      <c r="B8" s="122"/>
      <c r="C8" s="122"/>
      <c r="M8" s="28"/>
      <c r="AF8" s="12">
        <v>3000</v>
      </c>
      <c r="AH8" t="s">
        <v>26</v>
      </c>
      <c r="AI8">
        <v>1</v>
      </c>
      <c r="AJ8" s="28">
        <v>1</v>
      </c>
      <c r="AK8">
        <v>8</v>
      </c>
      <c r="AL8" s="28">
        <f>AK8*Lookup!$I$559</f>
        <v>64</v>
      </c>
    </row>
    <row r="9" spans="1:38" x14ac:dyDescent="0.25">
      <c r="A9" s="123"/>
      <c r="B9" s="123"/>
      <c r="C9" s="123"/>
      <c r="M9" s="28"/>
      <c r="AF9" s="12">
        <v>4000</v>
      </c>
      <c r="AH9" t="s">
        <v>31</v>
      </c>
      <c r="AI9">
        <v>1</v>
      </c>
      <c r="AJ9" s="28">
        <v>1</v>
      </c>
      <c r="AK9">
        <v>12</v>
      </c>
      <c r="AL9" s="28">
        <f>AK9*Lookup!$I$559</f>
        <v>96</v>
      </c>
    </row>
    <row r="10" spans="1:38" x14ac:dyDescent="0.25">
      <c r="M10" s="28"/>
      <c r="AF10" s="12">
        <v>5800</v>
      </c>
      <c r="AH10" t="s">
        <v>30</v>
      </c>
      <c r="AI10">
        <v>1</v>
      </c>
      <c r="AJ10" s="28">
        <v>1</v>
      </c>
      <c r="AK10">
        <v>12</v>
      </c>
      <c r="AL10" s="28">
        <f>AK10*Lookup!$I$559</f>
        <v>96</v>
      </c>
    </row>
    <row r="11" spans="1:38" x14ac:dyDescent="0.25">
      <c r="A11" s="133" t="s">
        <v>155</v>
      </c>
      <c r="B11" s="134"/>
      <c r="C11" s="135"/>
      <c r="D11" s="124" t="s">
        <v>162</v>
      </c>
      <c r="E11" s="125"/>
      <c r="F11" s="125"/>
      <c r="G11" s="125"/>
      <c r="H11" s="126"/>
      <c r="M11" s="28"/>
      <c r="AF11" s="12">
        <v>7800</v>
      </c>
      <c r="AH11" t="s">
        <v>36</v>
      </c>
      <c r="AI11">
        <v>1</v>
      </c>
      <c r="AJ11" s="28">
        <v>2</v>
      </c>
      <c r="AK11">
        <v>16</v>
      </c>
      <c r="AL11" s="28">
        <f>AK11*Lookup!$I$559</f>
        <v>128</v>
      </c>
    </row>
    <row r="12" spans="1:38" x14ac:dyDescent="0.25">
      <c r="A12" s="89"/>
      <c r="B12" s="90"/>
      <c r="C12" s="91"/>
      <c r="D12" s="127" t="s">
        <v>156</v>
      </c>
      <c r="E12" s="128"/>
      <c r="F12" s="128"/>
      <c r="G12" s="128"/>
      <c r="H12" s="129"/>
      <c r="M12" s="28"/>
      <c r="AF12" s="12">
        <v>8600</v>
      </c>
      <c r="AH12" t="s">
        <v>41</v>
      </c>
      <c r="AI12">
        <v>2</v>
      </c>
      <c r="AJ12" s="28">
        <v>1</v>
      </c>
      <c r="AK12">
        <v>16</v>
      </c>
      <c r="AL12" s="28">
        <f>AK12*Lookup!$I$559</f>
        <v>128</v>
      </c>
    </row>
    <row r="13" spans="1:38" x14ac:dyDescent="0.25">
      <c r="F13" s="6"/>
      <c r="G13" s="5"/>
      <c r="M13" s="28"/>
      <c r="AF13" s="12">
        <v>10400</v>
      </c>
      <c r="AH13" t="s">
        <v>42</v>
      </c>
      <c r="AI13">
        <v>2</v>
      </c>
      <c r="AJ13" s="28">
        <v>1</v>
      </c>
      <c r="AK13">
        <v>18</v>
      </c>
      <c r="AL13" s="28">
        <f>AK13*Lookup!$I$559</f>
        <v>144</v>
      </c>
    </row>
    <row r="14" spans="1:38" x14ac:dyDescent="0.25">
      <c r="A14" s="132" t="s">
        <v>163</v>
      </c>
      <c r="B14" s="132"/>
      <c r="C14" s="132"/>
      <c r="D14" s="5"/>
      <c r="F14" s="7"/>
      <c r="G14" s="5"/>
      <c r="M14" s="28"/>
      <c r="AF14" s="12">
        <v>12000</v>
      </c>
      <c r="AH14" t="s">
        <v>45</v>
      </c>
      <c r="AI14">
        <v>2</v>
      </c>
      <c r="AJ14" s="28">
        <v>1</v>
      </c>
      <c r="AK14">
        <v>20</v>
      </c>
      <c r="AL14" s="28">
        <f>AK14*Lookup!$I$559</f>
        <v>160</v>
      </c>
    </row>
    <row r="15" spans="1:38" x14ac:dyDescent="0.25">
      <c r="A15" s="97"/>
      <c r="B15" s="97"/>
      <c r="C15" s="97"/>
      <c r="D15" s="97"/>
      <c r="E15" s="97"/>
      <c r="F15" s="97"/>
      <c r="G15" s="97"/>
      <c r="H15" s="97"/>
      <c r="M15" s="28"/>
      <c r="AF15" s="12">
        <v>14000</v>
      </c>
      <c r="AH15" t="s">
        <v>48</v>
      </c>
      <c r="AI15">
        <v>2</v>
      </c>
      <c r="AJ15" s="28">
        <v>3</v>
      </c>
      <c r="AK15">
        <v>24</v>
      </c>
      <c r="AL15" s="28">
        <f>AK15*Lookup!$I$559</f>
        <v>192</v>
      </c>
    </row>
    <row r="16" spans="1:38" x14ac:dyDescent="0.25">
      <c r="M16" s="28"/>
      <c r="AF16" s="12">
        <v>16000</v>
      </c>
      <c r="AH16" t="s">
        <v>52</v>
      </c>
      <c r="AI16">
        <v>2</v>
      </c>
      <c r="AJ16" s="28">
        <v>2</v>
      </c>
      <c r="AK16">
        <v>24</v>
      </c>
      <c r="AL16" s="28">
        <f>AK16*Lookup!$I$559</f>
        <v>192</v>
      </c>
    </row>
    <row r="17" spans="1:43" x14ac:dyDescent="0.25">
      <c r="A17" s="137" t="s">
        <v>164</v>
      </c>
      <c r="B17" s="137"/>
      <c r="C17" s="137"/>
      <c r="D17" s="131">
        <v>3048</v>
      </c>
      <c r="E17" s="131"/>
      <c r="M17" s="28"/>
      <c r="AF17" s="12">
        <v>18000</v>
      </c>
      <c r="AH17" t="s">
        <v>53</v>
      </c>
      <c r="AI17">
        <v>2</v>
      </c>
      <c r="AJ17" s="28">
        <v>2</v>
      </c>
      <c r="AK17">
        <v>32</v>
      </c>
      <c r="AL17" s="28">
        <f>AK17*Lookup!$I$559</f>
        <v>256</v>
      </c>
    </row>
    <row r="18" spans="1:43" x14ac:dyDescent="0.25">
      <c r="M18" s="28"/>
      <c r="AF18" s="12">
        <v>20000</v>
      </c>
      <c r="AH18" t="s">
        <v>56</v>
      </c>
      <c r="AI18">
        <v>2</v>
      </c>
      <c r="AJ18" s="28">
        <v>3</v>
      </c>
      <c r="AK18">
        <v>36</v>
      </c>
      <c r="AL18" s="28">
        <f>AK18*Lookup!$I$559</f>
        <v>288</v>
      </c>
    </row>
    <row r="19" spans="1:43" x14ac:dyDescent="0.25">
      <c r="A19" s="136" t="s">
        <v>157</v>
      </c>
      <c r="B19" s="136"/>
      <c r="C19" s="136"/>
      <c r="D19" s="130" t="s">
        <v>26</v>
      </c>
      <c r="E19" s="130"/>
      <c r="F19" s="138"/>
      <c r="G19" s="138"/>
      <c r="H19" s="138"/>
      <c r="I19" s="79"/>
      <c r="J19" s="33" t="s">
        <v>16</v>
      </c>
      <c r="K19" s="9">
        <f>ROUND(VLOOKUP(D19,Lookup!C6:K341,9,FALSE)*M53,)</f>
        <v>8466</v>
      </c>
      <c r="M19" s="28"/>
      <c r="AH19" t="s">
        <v>59</v>
      </c>
      <c r="AI19">
        <v>2</v>
      </c>
      <c r="AJ19" s="28">
        <v>2</v>
      </c>
      <c r="AK19">
        <v>40</v>
      </c>
      <c r="AL19" s="28">
        <f>AK19*Lookup!$I$559</f>
        <v>320</v>
      </c>
    </row>
    <row r="20" spans="1:43" x14ac:dyDescent="0.25">
      <c r="A20" t="str">
        <f>VLOOKUP(1,Lookup!B6:D341,3,FALSE)</f>
        <v>·         New 8 cartridge downflow dust collector</v>
      </c>
      <c r="M20" s="28"/>
      <c r="AH20" t="s">
        <v>63</v>
      </c>
      <c r="AI20">
        <v>2</v>
      </c>
      <c r="AJ20" s="28">
        <v>4</v>
      </c>
      <c r="AK20">
        <v>48</v>
      </c>
      <c r="AL20" s="28">
        <f>AK20*Lookup!$I$559</f>
        <v>384</v>
      </c>
    </row>
    <row r="21" spans="1:43" x14ac:dyDescent="0.25">
      <c r="A21" t="str">
        <f>VLOOKUP(2,Lookup!B6:D341,3,FALSE)</f>
        <v>·         Holds 8 cartridge filters totaling 2,032 sq ft of filter media</v>
      </c>
      <c r="M21" s="28"/>
      <c r="AF21" t="s">
        <v>159</v>
      </c>
      <c r="AH21" t="s">
        <v>62</v>
      </c>
      <c r="AI21">
        <v>2</v>
      </c>
      <c r="AJ21" s="28">
        <v>3</v>
      </c>
      <c r="AK21">
        <v>48</v>
      </c>
      <c r="AL21" s="28">
        <f>AK21*Lookup!$I$559</f>
        <v>384</v>
      </c>
    </row>
    <row r="22" spans="1:43" x14ac:dyDescent="0.25">
      <c r="A22" s="42" t="str">
        <f>VLOOKUP(Lookup!M562,Lookup!C559:I561,2,FALSE)</f>
        <v>·         ACT Nano-Elite, flame-retardant, Nano-Fiber media with industry best Merv 15 efficiency</v>
      </c>
      <c r="B22" s="42"/>
      <c r="C22" s="42"/>
      <c r="D22" s="42"/>
      <c r="E22" s="42"/>
      <c r="M22" s="28"/>
      <c r="AF22" t="s">
        <v>160</v>
      </c>
      <c r="AH22" t="s">
        <v>66</v>
      </c>
      <c r="AI22">
        <v>2</v>
      </c>
      <c r="AJ22" s="28">
        <v>3</v>
      </c>
      <c r="AK22">
        <v>54</v>
      </c>
      <c r="AL22" s="28">
        <f>AK22*Lookup!$I$559</f>
        <v>432</v>
      </c>
    </row>
    <row r="23" spans="1:43" x14ac:dyDescent="0.25">
      <c r="A23" t="str">
        <f>VLOOKUP(8,Lookup!B6:D341,3,FALSE)</f>
        <v>·         reverse pulse filter cleaning system</v>
      </c>
      <c r="M23" s="28"/>
      <c r="AH23" t="s">
        <v>69</v>
      </c>
      <c r="AI23">
        <v>3</v>
      </c>
      <c r="AJ23" s="28">
        <v>3</v>
      </c>
      <c r="AK23">
        <v>60</v>
      </c>
      <c r="AL23" s="28">
        <f>AK23*Lookup!$I$559</f>
        <v>480</v>
      </c>
    </row>
    <row r="24" spans="1:43" x14ac:dyDescent="0.25">
      <c r="A24" t="str">
        <f>VLOOKUP(16,Lookup!B6:D341,3,FALSE)</f>
        <v>·         pulse control timer board with built-in digital pressure gage</v>
      </c>
      <c r="M24" s="28"/>
      <c r="AH24" t="s">
        <v>72</v>
      </c>
      <c r="AI24">
        <v>3</v>
      </c>
      <c r="AJ24" s="28">
        <v>4</v>
      </c>
      <c r="AK24">
        <v>64</v>
      </c>
      <c r="AL24" s="28">
        <f>AK24*Lookup!$I$559</f>
        <v>512</v>
      </c>
    </row>
    <row r="25" spans="1:43" x14ac:dyDescent="0.25">
      <c r="A25" t="str">
        <f>VLOOKUP(32,Lookup!B6:D341,3,FALSE)</f>
        <v>·         Goyen diaphragm and solenoid valves</v>
      </c>
      <c r="M25" s="28"/>
      <c r="AD25" t="s">
        <v>376</v>
      </c>
      <c r="AE25" s="32" t="s">
        <v>377</v>
      </c>
      <c r="AH25" t="s">
        <v>78</v>
      </c>
      <c r="AI25">
        <v>3</v>
      </c>
      <c r="AJ25" s="28">
        <v>5</v>
      </c>
      <c r="AK25">
        <v>72</v>
      </c>
      <c r="AL25" s="28">
        <f>AK25*Lookup!$I$559</f>
        <v>576</v>
      </c>
    </row>
    <row r="26" spans="1:43" x14ac:dyDescent="0.25">
      <c r="A26" t="str">
        <f>VLOOKUP(64,Lookup!B6:D341,3,FALSE)</f>
        <v>·         Drum lid</v>
      </c>
      <c r="M26" s="28"/>
      <c r="AD26" t="str">
        <f>D19</f>
        <v>ACT 2-8</v>
      </c>
      <c r="AE26">
        <f>VLOOKUP(AD26,AH4:AJ31,3,FALSE)</f>
        <v>1</v>
      </c>
      <c r="AH26" t="s">
        <v>77</v>
      </c>
      <c r="AI26">
        <v>3</v>
      </c>
      <c r="AJ26" s="28">
        <v>5</v>
      </c>
      <c r="AK26">
        <v>80</v>
      </c>
      <c r="AL26" s="28">
        <f>AK26*Lookup!$I$559</f>
        <v>640</v>
      </c>
    </row>
    <row r="27" spans="1:43" x14ac:dyDescent="0.25">
      <c r="A27" t="str">
        <f>VLOOKUP(128,Lookup!B6:D341,3,FALSE)</f>
        <v>·         Quick lock, easy access door</v>
      </c>
      <c r="M27" s="28"/>
      <c r="AE27" t="b">
        <f>ISEVEN(AE26)</f>
        <v>0</v>
      </c>
      <c r="AH27" t="s">
        <v>83</v>
      </c>
      <c r="AI27">
        <v>3</v>
      </c>
      <c r="AJ27" s="28">
        <v>4</v>
      </c>
      <c r="AK27">
        <v>80</v>
      </c>
      <c r="AL27" s="28">
        <f>AK27*Lookup!$I$559</f>
        <v>640</v>
      </c>
    </row>
    <row r="28" spans="1:43" x14ac:dyDescent="0.25">
      <c r="A28" t="str">
        <f>VLOOKUP(256,Lookup!B6:D341,3,FALSE)</f>
        <v>·         Heavy duty 7 and 10 gage construction</v>
      </c>
      <c r="M28" s="28"/>
      <c r="AE28">
        <f>IF(AE27=TRUE,AE26,AE26+1)</f>
        <v>2</v>
      </c>
      <c r="AH28" t="s">
        <v>84</v>
      </c>
      <c r="AI28">
        <v>3</v>
      </c>
      <c r="AJ28" s="28">
        <v>6</v>
      </c>
      <c r="AK28">
        <v>96</v>
      </c>
      <c r="AL28" s="28">
        <f>AK28*Lookup!$I$559</f>
        <v>768</v>
      </c>
    </row>
    <row r="29" spans="1:43" x14ac:dyDescent="0.25">
      <c r="A29" t="str">
        <f>VLOOKUP(512,Lookup!B6:D341,3,FALSE)</f>
        <v>·         5 year manufactures materials and craftsmanship warranty</v>
      </c>
      <c r="M29" s="28"/>
      <c r="AH29" t="s">
        <v>87</v>
      </c>
      <c r="AI29">
        <v>3</v>
      </c>
      <c r="AJ29" s="28">
        <v>5</v>
      </c>
      <c r="AK29">
        <v>100</v>
      </c>
      <c r="AL29" s="28">
        <f>AK29*Lookup!$I$559</f>
        <v>800</v>
      </c>
    </row>
    <row r="30" spans="1:43" s="28" customFormat="1" x14ac:dyDescent="0.25">
      <c r="A30" s="28" t="str">
        <f>VLOOKUP(1024,Lookup!B7:D341,3,FALSE)</f>
        <v>·         Made in the USA</v>
      </c>
      <c r="J30" s="32"/>
      <c r="AH30" t="s">
        <v>90</v>
      </c>
      <c r="AI30">
        <v>3</v>
      </c>
      <c r="AJ30" s="28">
        <v>7</v>
      </c>
      <c r="AK30">
        <v>112</v>
      </c>
      <c r="AL30" s="28">
        <f>AK30*Lookup!$I$559</f>
        <v>896</v>
      </c>
      <c r="AM30"/>
      <c r="AN30"/>
    </row>
    <row r="31" spans="1:43" ht="15.75" thickBot="1" x14ac:dyDescent="0.3">
      <c r="B31" s="28"/>
      <c r="D31" s="28"/>
      <c r="E31" s="28"/>
      <c r="F31" s="28"/>
      <c r="G31" s="28"/>
      <c r="H31" s="28"/>
      <c r="I31" s="28"/>
      <c r="K31" s="28"/>
      <c r="M31" s="28"/>
      <c r="AH31" t="s">
        <v>93</v>
      </c>
      <c r="AI31">
        <v>3</v>
      </c>
      <c r="AJ31" s="28">
        <v>8</v>
      </c>
      <c r="AK31">
        <v>128</v>
      </c>
      <c r="AL31" s="28">
        <f>AK31*Lookup!$I$559</f>
        <v>1024</v>
      </c>
    </row>
    <row r="32" spans="1:43" x14ac:dyDescent="0.25">
      <c r="A32" s="106" t="s">
        <v>327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8"/>
      <c r="M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</row>
    <row r="33" spans="1:40" s="28" customFormat="1" ht="30" customHeight="1" x14ac:dyDescent="0.25">
      <c r="A33" s="56"/>
      <c r="B33" s="113" t="s">
        <v>500</v>
      </c>
      <c r="C33" s="114"/>
      <c r="D33" s="115" t="s">
        <v>379</v>
      </c>
      <c r="E33" s="116"/>
      <c r="F33" s="116"/>
      <c r="G33" s="116"/>
      <c r="H33" s="116"/>
      <c r="I33" s="116"/>
      <c r="J33" s="117"/>
      <c r="K33" s="80">
        <f>IF(Lookup!M562=Lookup!C559,ROUND(VLOOKUP(D19,AH4:AL31,5,FALSE)*M53,),"N/C")</f>
        <v>64</v>
      </c>
      <c r="AE33" s="38" t="s">
        <v>302</v>
      </c>
      <c r="AF33" t="b">
        <v>1</v>
      </c>
    </row>
    <row r="34" spans="1:40" s="28" customFormat="1" x14ac:dyDescent="0.25">
      <c r="A34" s="47"/>
      <c r="B34" s="36" t="s">
        <v>98</v>
      </c>
      <c r="C34" s="41" t="s">
        <v>106</v>
      </c>
      <c r="D34" s="118" t="str">
        <f>IF(AF34=TRUE,VLOOKUP(C34,Lookup!C344:J356,2,FALSE)," ")</f>
        <v>30HP motor with direct drive, top mount fan</v>
      </c>
      <c r="E34" s="119"/>
      <c r="F34" s="119"/>
      <c r="G34" s="119"/>
      <c r="H34" s="119"/>
      <c r="I34" s="120" t="str">
        <f>IF(AF34=TRUE,VLOOKUP(C34,Lookup!C344:H356,6,FALSE)," ")</f>
        <v>10,400 CFM @ 12"</v>
      </c>
      <c r="J34" s="121"/>
      <c r="K34" s="48">
        <f>IF(AF34=TRUE,ROUND( VLOOKUP(C34,Lookup!C344:J356,8,FALSE)*M53,)," ")</f>
        <v>4125</v>
      </c>
      <c r="AE34" s="32" t="s">
        <v>311</v>
      </c>
      <c r="AF34" s="28" t="b">
        <v>1</v>
      </c>
      <c r="AI34" s="71" t="s">
        <v>430</v>
      </c>
      <c r="AK34" t="s">
        <v>331</v>
      </c>
      <c r="AL34" t="s">
        <v>158</v>
      </c>
      <c r="AN34" s="69" t="s">
        <v>415</v>
      </c>
    </row>
    <row r="35" spans="1:40" s="28" customFormat="1" x14ac:dyDescent="0.25">
      <c r="A35" s="47"/>
      <c r="B35" s="98" t="s">
        <v>107</v>
      </c>
      <c r="C35" s="100"/>
      <c r="D35" s="97" t="str">
        <f>IF(AF35=TRUE, VLOOKUP(C34,Lookup!C344:R356,11,FALSE)," ")</f>
        <v>Silencer for TCBI 30</v>
      </c>
      <c r="E35" s="97"/>
      <c r="F35" s="97"/>
      <c r="G35" s="97"/>
      <c r="H35" s="97"/>
      <c r="I35" s="97"/>
      <c r="J35" s="97"/>
      <c r="K35" s="48">
        <f>IF(AF35=TRUE, ROUND(VLOOKUP(C34,Lookup!C344:R356,16,FALSE)*M53,)," ")</f>
        <v>985</v>
      </c>
      <c r="AE35" s="32" t="s">
        <v>312</v>
      </c>
      <c r="AF35" s="28" t="b">
        <v>1</v>
      </c>
      <c r="AI35" s="71" t="s">
        <v>432</v>
      </c>
      <c r="AK35" t="s">
        <v>332</v>
      </c>
      <c r="AL35" t="s">
        <v>99</v>
      </c>
      <c r="AN35" s="69" t="s">
        <v>416</v>
      </c>
    </row>
    <row r="36" spans="1:40" s="28" customFormat="1" x14ac:dyDescent="0.25">
      <c r="A36" s="47"/>
      <c r="B36" s="98" t="s">
        <v>116</v>
      </c>
      <c r="C36" s="100"/>
      <c r="D36" s="97" t="str">
        <f>IF(AF36=TRUE, VLOOKUP(C34,Lookup!C344:Z356,19,FALSE)," ")</f>
        <v>Damper for TCBI 30, opposed blade</v>
      </c>
      <c r="E36" s="97"/>
      <c r="F36" s="97"/>
      <c r="G36" s="97"/>
      <c r="H36" s="97"/>
      <c r="I36" s="97"/>
      <c r="J36" s="97"/>
      <c r="K36" s="48">
        <f>IF(AF36=TRUE, ROUND(VLOOKUP(C34,Lookup!C344:Z356,24,FALSE)*M53,)," ")</f>
        <v>740</v>
      </c>
      <c r="AE36" s="32" t="s">
        <v>313</v>
      </c>
      <c r="AF36" s="28" t="b">
        <v>1</v>
      </c>
      <c r="AI36" s="71" t="s">
        <v>434</v>
      </c>
      <c r="AK36" t="s">
        <v>333</v>
      </c>
      <c r="AL36" t="s">
        <v>100</v>
      </c>
      <c r="AN36" s="69" t="s">
        <v>417</v>
      </c>
    </row>
    <row r="37" spans="1:40" s="28" customFormat="1" x14ac:dyDescent="0.25">
      <c r="A37" s="49"/>
      <c r="B37" s="112" t="s">
        <v>422</v>
      </c>
      <c r="C37" s="112"/>
      <c r="D37" s="112" t="s">
        <v>385</v>
      </c>
      <c r="E37" s="112"/>
      <c r="F37" s="112"/>
      <c r="G37" s="112"/>
      <c r="H37" s="112"/>
      <c r="I37" s="112"/>
      <c r="J37" s="112"/>
      <c r="K37" s="50" t="str">
        <f>IF(AF37=TRUE,ROUND(VLOOKUP(AE26,Lookup!B359:J366,9,FALSE)*M53,)," ")</f>
        <v xml:space="preserve"> </v>
      </c>
      <c r="AE37" s="32" t="s">
        <v>330</v>
      </c>
      <c r="AF37" s="28" t="b">
        <v>0</v>
      </c>
      <c r="AI37" s="71" t="s">
        <v>436</v>
      </c>
      <c r="AK37" t="s">
        <v>334</v>
      </c>
      <c r="AL37" t="s">
        <v>101</v>
      </c>
      <c r="AN37" s="69" t="s">
        <v>418</v>
      </c>
    </row>
    <row r="38" spans="1:40" s="28" customFormat="1" ht="30" customHeight="1" x14ac:dyDescent="0.25">
      <c r="A38" s="47"/>
      <c r="B38" s="140" t="s">
        <v>165</v>
      </c>
      <c r="C38" s="141"/>
      <c r="D38" s="109" t="s">
        <v>408</v>
      </c>
      <c r="E38" s="110"/>
      <c r="F38" s="110"/>
      <c r="G38" s="110"/>
      <c r="H38" s="110"/>
      <c r="I38" s="110"/>
      <c r="J38" s="111"/>
      <c r="K38" s="52" t="str">
        <f>IF(AF38=TRUE,ROUND(VLOOKUP(D38,Lookup!D369:I375,6,FALSE)*M53,)," ")</f>
        <v xml:space="preserve"> </v>
      </c>
      <c r="AE38" s="37" t="s">
        <v>165</v>
      </c>
      <c r="AF38" s="28" t="b">
        <v>0</v>
      </c>
      <c r="AI38" s="71" t="s">
        <v>438</v>
      </c>
      <c r="AK38" t="s">
        <v>335</v>
      </c>
      <c r="AL38" t="s">
        <v>102</v>
      </c>
      <c r="AN38" s="66"/>
    </row>
    <row r="39" spans="1:40" s="28" customFormat="1" x14ac:dyDescent="0.25">
      <c r="A39" s="47"/>
      <c r="B39" s="89" t="s">
        <v>241</v>
      </c>
      <c r="C39" s="91"/>
      <c r="D39" s="97" t="s">
        <v>350</v>
      </c>
      <c r="E39" s="97"/>
      <c r="F39" s="97"/>
      <c r="G39" s="97"/>
      <c r="H39" s="97" t="s">
        <v>348</v>
      </c>
      <c r="I39" s="97"/>
      <c r="J39" s="97"/>
      <c r="K39" s="48" t="str">
        <f>IF(AF39=TRUE,ROUND(100*AE26*M53,)," ")</f>
        <v xml:space="preserve"> </v>
      </c>
      <c r="AE39" s="37" t="s">
        <v>241</v>
      </c>
      <c r="AF39" s="28" t="b">
        <v>0</v>
      </c>
      <c r="AI39" s="71" t="s">
        <v>440</v>
      </c>
      <c r="AK39" t="s">
        <v>336</v>
      </c>
      <c r="AL39" t="s">
        <v>103</v>
      </c>
      <c r="AN39" s="66"/>
    </row>
    <row r="40" spans="1:40" s="70" customFormat="1" x14ac:dyDescent="0.25">
      <c r="A40" s="47"/>
      <c r="B40" s="98" t="s">
        <v>429</v>
      </c>
      <c r="C40" s="100"/>
      <c r="D40" s="68" t="s">
        <v>438</v>
      </c>
      <c r="E40" s="99" t="str">
        <f>VLOOKUP(D40,Lookup!C467:I482,2,FALSE)</f>
        <v>16" back draft damper</v>
      </c>
      <c r="F40" s="99"/>
      <c r="G40" s="99"/>
      <c r="H40" s="99"/>
      <c r="I40" s="99"/>
      <c r="J40" s="100"/>
      <c r="K40" s="48" t="str">
        <f>IF(AF40=TRUE,ROUND(VLOOKUP(D40,Lookup!C467:I482,7,FALSE)*M53,)," ")</f>
        <v xml:space="preserve"> </v>
      </c>
      <c r="AE40" s="37" t="s">
        <v>429</v>
      </c>
      <c r="AF40" s="70" t="b">
        <v>0</v>
      </c>
      <c r="AI40" s="71" t="s">
        <v>442</v>
      </c>
      <c r="AK40" t="s">
        <v>337</v>
      </c>
      <c r="AL40" t="s">
        <v>104</v>
      </c>
      <c r="AM40" s="28"/>
      <c r="AN40" s="28"/>
    </row>
    <row r="41" spans="1:40" s="28" customFormat="1" x14ac:dyDescent="0.25">
      <c r="A41" s="51"/>
      <c r="B41" s="98" t="s">
        <v>256</v>
      </c>
      <c r="C41" s="100"/>
      <c r="D41" s="118" t="s">
        <v>378</v>
      </c>
      <c r="E41" s="119"/>
      <c r="F41" s="119"/>
      <c r="G41" s="119"/>
      <c r="H41" s="119"/>
      <c r="I41" s="119"/>
      <c r="J41" s="144"/>
      <c r="K41" s="48">
        <f>IF(AF41=TRUE,ROUND(VLOOKUP(AE26,Lookup!B495:I502,8,FALSE)*M53,)," ")</f>
        <v>50</v>
      </c>
      <c r="AE41" s="37" t="s">
        <v>256</v>
      </c>
      <c r="AF41" s="28" t="b">
        <v>1</v>
      </c>
      <c r="AI41" s="71" t="s">
        <v>444</v>
      </c>
      <c r="AK41" t="s">
        <v>338</v>
      </c>
      <c r="AL41" t="s">
        <v>105</v>
      </c>
    </row>
    <row r="42" spans="1:40" s="28" customFormat="1" x14ac:dyDescent="0.25">
      <c r="A42" s="51"/>
      <c r="B42" s="89" t="s">
        <v>166</v>
      </c>
      <c r="C42" s="91"/>
      <c r="D42" s="73" t="s">
        <v>338</v>
      </c>
      <c r="E42" s="99" t="s">
        <v>462</v>
      </c>
      <c r="F42" s="99"/>
      <c r="G42" s="99"/>
      <c r="H42" s="99"/>
      <c r="I42" s="99"/>
      <c r="J42" s="100"/>
      <c r="K42" s="48">
        <f>IF(AF42=TRUE,ROUND(VLOOKUP('Quote Sheet'!D42,Lookup!B379:I394,8,FALSE)*M53,)," ")</f>
        <v>1303</v>
      </c>
      <c r="AE42" s="37" t="s">
        <v>166</v>
      </c>
      <c r="AF42" s="28" t="b">
        <v>1</v>
      </c>
      <c r="AI42" s="71" t="s">
        <v>446</v>
      </c>
      <c r="AK42" t="s">
        <v>339</v>
      </c>
      <c r="AL42" t="s">
        <v>106</v>
      </c>
    </row>
    <row r="43" spans="1:40" s="28" customFormat="1" x14ac:dyDescent="0.25">
      <c r="A43" s="51"/>
      <c r="B43" s="89" t="s">
        <v>264</v>
      </c>
      <c r="C43" s="91"/>
      <c r="D43" s="97" t="s">
        <v>375</v>
      </c>
      <c r="E43" s="97"/>
      <c r="F43" s="97"/>
      <c r="G43" s="97"/>
      <c r="H43" s="97"/>
      <c r="I43" s="97"/>
      <c r="J43" s="97"/>
      <c r="K43" s="48" t="str">
        <f>IF(AF43=TRUE,ROUND(VLOOKUP(AE26,Lookup!B505:I517,8,FALSE)*M53,)," ")</f>
        <v xml:space="preserve"> </v>
      </c>
      <c r="AE43" s="37" t="s">
        <v>264</v>
      </c>
      <c r="AF43" s="28" t="b">
        <v>0</v>
      </c>
      <c r="AI43" s="71" t="s">
        <v>448</v>
      </c>
      <c r="AK43" t="s">
        <v>340</v>
      </c>
      <c r="AL43" t="s">
        <v>125</v>
      </c>
    </row>
    <row r="44" spans="1:40" s="28" customFormat="1" x14ac:dyDescent="0.25">
      <c r="A44" s="51"/>
      <c r="B44" s="89" t="s">
        <v>199</v>
      </c>
      <c r="C44" s="91"/>
      <c r="D44" s="97" t="s">
        <v>349</v>
      </c>
      <c r="E44" s="97"/>
      <c r="F44" s="97"/>
      <c r="G44" s="97"/>
      <c r="H44" s="97"/>
      <c r="I44" s="97"/>
      <c r="J44" s="97"/>
      <c r="K44" s="48" t="str">
        <f>IF(AF44=TRUE,ROUND(Lookup!I405*AE26*M53,)," ")</f>
        <v xml:space="preserve"> </v>
      </c>
      <c r="AE44" s="37" t="s">
        <v>199</v>
      </c>
      <c r="AF44" s="28" t="b">
        <v>0</v>
      </c>
      <c r="AI44" s="71" t="s">
        <v>450</v>
      </c>
      <c r="AK44" t="s">
        <v>341</v>
      </c>
      <c r="AL44" t="s">
        <v>126</v>
      </c>
    </row>
    <row r="45" spans="1:40" s="66" customFormat="1" x14ac:dyDescent="0.25">
      <c r="A45" s="57"/>
      <c r="B45" s="89" t="s">
        <v>421</v>
      </c>
      <c r="C45" s="91"/>
      <c r="D45" s="68" t="s">
        <v>415</v>
      </c>
      <c r="E45" s="98" t="str">
        <f>VLOOKUP(D45,Lookup!C397:I400,2,FALSE)</f>
        <v>6" dust collector duty rotary air lock, 1/3 HP, 29RPM, direct drive</v>
      </c>
      <c r="F45" s="99"/>
      <c r="G45" s="99"/>
      <c r="H45" s="99"/>
      <c r="I45" s="99"/>
      <c r="J45" s="100"/>
      <c r="K45" s="48" t="str">
        <f>IF(AF45=TRUE,ROUND(VLOOKUP(D45,Lookup!C397:I400,7,FALSE)*M53,)," ")</f>
        <v xml:space="preserve"> </v>
      </c>
      <c r="AE45" s="37" t="s">
        <v>421</v>
      </c>
      <c r="AF45" s="66" t="b">
        <v>0</v>
      </c>
      <c r="AI45" s="71" t="s">
        <v>452</v>
      </c>
      <c r="AK45" s="46" t="s">
        <v>342</v>
      </c>
      <c r="AL45" s="46" t="s">
        <v>127</v>
      </c>
      <c r="AM45" s="28"/>
      <c r="AN45" s="28"/>
    </row>
    <row r="46" spans="1:40" s="66" customFormat="1" x14ac:dyDescent="0.25">
      <c r="A46" s="57"/>
      <c r="B46" s="98" t="s">
        <v>428</v>
      </c>
      <c r="C46" s="99"/>
      <c r="D46" s="99"/>
      <c r="E46" s="99"/>
      <c r="F46" s="99"/>
      <c r="G46" s="99"/>
      <c r="H46" s="99"/>
      <c r="I46" s="99"/>
      <c r="J46" s="100"/>
      <c r="K46" s="48" t="str">
        <f>IF(AF46=TRUE,ROUND(Lookup!I402*M53,)," ")</f>
        <v xml:space="preserve"> </v>
      </c>
      <c r="AE46" s="32" t="s">
        <v>423</v>
      </c>
      <c r="AF46" s="66" t="b">
        <v>0</v>
      </c>
      <c r="AI46" s="71" t="s">
        <v>454</v>
      </c>
      <c r="AK46" s="46" t="s">
        <v>343</v>
      </c>
      <c r="AL46" s="46" t="s">
        <v>128</v>
      </c>
      <c r="AM46" s="28"/>
      <c r="AN46"/>
    </row>
    <row r="47" spans="1:40" s="28" customFormat="1" x14ac:dyDescent="0.25">
      <c r="A47" s="87"/>
      <c r="B47" s="83" t="s">
        <v>276</v>
      </c>
      <c r="C47" s="84"/>
      <c r="D47" s="97" t="s">
        <v>353</v>
      </c>
      <c r="E47" s="97"/>
      <c r="F47" s="97"/>
      <c r="G47" s="97"/>
      <c r="H47" s="97"/>
      <c r="I47" s="97"/>
      <c r="J47" s="97"/>
      <c r="K47" s="48" t="str">
        <f>IF(AF47=TRUE,ROUND(Lookup!I530*(AE28/2)*M53,)," ")</f>
        <v xml:space="preserve"> </v>
      </c>
      <c r="AE47" s="37" t="s">
        <v>276</v>
      </c>
      <c r="AF47" s="28" t="b">
        <v>0</v>
      </c>
      <c r="AI47" s="71" t="s">
        <v>456</v>
      </c>
      <c r="AK47" t="s">
        <v>344</v>
      </c>
      <c r="AL47" t="s">
        <v>129</v>
      </c>
      <c r="AN47"/>
    </row>
    <row r="48" spans="1:40" s="28" customFormat="1" x14ac:dyDescent="0.25">
      <c r="A48" s="88"/>
      <c r="B48" s="85"/>
      <c r="C48" s="86"/>
      <c r="D48" s="89" t="s">
        <v>354</v>
      </c>
      <c r="E48" s="90"/>
      <c r="F48" s="90"/>
      <c r="G48" s="90"/>
      <c r="H48" s="90"/>
      <c r="I48" s="90"/>
      <c r="J48" s="91"/>
      <c r="K48" s="48" t="str">
        <f>IF(AF48=TRUE,ROUND(Lookup!I532*(AE28/2)*M53,)," ")</f>
        <v xml:space="preserve"> </v>
      </c>
      <c r="AE48" s="39" t="s">
        <v>352</v>
      </c>
      <c r="AF48" s="28" t="b">
        <v>0</v>
      </c>
      <c r="AI48" s="71" t="s">
        <v>458</v>
      </c>
      <c r="AK48" t="s">
        <v>345</v>
      </c>
      <c r="AN48"/>
    </row>
    <row r="49" spans="1:43" s="28" customFormat="1" ht="30" customHeight="1" x14ac:dyDescent="0.25">
      <c r="A49" s="51"/>
      <c r="B49" s="142" t="s">
        <v>328</v>
      </c>
      <c r="C49" s="143"/>
      <c r="D49" s="40" t="s">
        <v>208</v>
      </c>
      <c r="E49" s="92" t="str">
        <f>IF(AF49=TRUE,VLOOKUP(D49,Lookup!C410:N415,2,FALSE)," ")</f>
        <v xml:space="preserve"> </v>
      </c>
      <c r="F49" s="92"/>
      <c r="G49" s="92"/>
      <c r="H49" s="92"/>
      <c r="I49" s="92"/>
      <c r="J49" s="93"/>
      <c r="K49" s="52" t="str">
        <f>IF(AF49=TRUE,ROUND(VLOOKUP(D49,Lookup!C410:N415,12,FALSE)*M53,)," ")</f>
        <v xml:space="preserve"> </v>
      </c>
      <c r="AE49" s="45" t="s">
        <v>328</v>
      </c>
      <c r="AF49" s="46" t="b">
        <v>0</v>
      </c>
      <c r="AI49" s="71" t="s">
        <v>460</v>
      </c>
      <c r="AK49" t="s">
        <v>346</v>
      </c>
      <c r="AN49"/>
    </row>
    <row r="50" spans="1:43" s="28" customFormat="1" ht="30" customHeight="1" x14ac:dyDescent="0.25">
      <c r="A50" s="51"/>
      <c r="B50" s="140" t="s">
        <v>281</v>
      </c>
      <c r="C50" s="141"/>
      <c r="D50" s="40" t="s">
        <v>287</v>
      </c>
      <c r="E50" s="101" t="str">
        <f>IF(AF50=TRUE,VLOOKUP(D50,Lookup!C536:I555,2,FALSE)," ")</f>
        <v>10HP All-in-one starter/disconnect/timer board/digital pressure gage 460V 3ph</v>
      </c>
      <c r="F50" s="102"/>
      <c r="G50" s="102"/>
      <c r="H50" s="102"/>
      <c r="I50" s="102"/>
      <c r="J50" s="103"/>
      <c r="K50" s="52">
        <f>IF(AF50=TRUE,ROUND(VLOOKUP(D50,Lookup!C536:I555,7,FALSE)*M53,)," ")</f>
        <v>1898</v>
      </c>
      <c r="AE50" s="45" t="s">
        <v>281</v>
      </c>
      <c r="AF50" s="46" t="b">
        <v>1</v>
      </c>
      <c r="AK50"/>
      <c r="AL50"/>
      <c r="AM50"/>
      <c r="AN50"/>
    </row>
    <row r="51" spans="1:43" s="28" customFormat="1" ht="15" customHeight="1" x14ac:dyDescent="0.25">
      <c r="A51" s="51"/>
      <c r="B51" s="104" t="s">
        <v>210</v>
      </c>
      <c r="C51" s="105"/>
      <c r="D51" s="98" t="str">
        <f>IF(AF51,VLOOKUP(AE26,Lookup!B420:I442,3,FALSE)," ")</f>
        <v>Steel connection from hopper to drum lid</v>
      </c>
      <c r="E51" s="99"/>
      <c r="F51" s="99"/>
      <c r="G51" s="99"/>
      <c r="H51" s="99"/>
      <c r="I51" s="99"/>
      <c r="J51" s="100"/>
      <c r="K51" s="48">
        <f>IF(AF51=TRUE,ROUND(VLOOKUP(AE26,Lookup!B420:I442,8,FALSE)*M53,)," ")</f>
        <v>150</v>
      </c>
      <c r="AE51" s="38" t="s">
        <v>210</v>
      </c>
      <c r="AF51" t="b">
        <v>1</v>
      </c>
      <c r="AK51"/>
      <c r="AL51"/>
      <c r="AM51"/>
      <c r="AN51"/>
    </row>
    <row r="52" spans="1:43" s="28" customFormat="1" ht="15.75" thickBot="1" x14ac:dyDescent="0.3">
      <c r="A52" s="53"/>
      <c r="B52" s="94" t="s">
        <v>329</v>
      </c>
      <c r="C52" s="95"/>
      <c r="D52" s="96" t="s">
        <v>351</v>
      </c>
      <c r="E52" s="96"/>
      <c r="F52" s="96">
        <v>2</v>
      </c>
      <c r="G52" s="96"/>
      <c r="H52" s="96" t="s">
        <v>347</v>
      </c>
      <c r="I52" s="96"/>
      <c r="J52" s="96"/>
      <c r="K52" s="54">
        <f>IF(AF52=TRUE,ROUND(100*AE26*M53,)," ")</f>
        <v>100</v>
      </c>
      <c r="M52" s="28" t="s">
        <v>382</v>
      </c>
      <c r="AE52" s="38" t="s">
        <v>329</v>
      </c>
      <c r="AF52" t="b">
        <v>1</v>
      </c>
      <c r="AH52"/>
      <c r="AK52"/>
      <c r="AL52"/>
      <c r="AM52"/>
      <c r="AN52"/>
    </row>
    <row r="53" spans="1:43" s="28" customFormat="1" ht="15.75" thickBot="1" x14ac:dyDescent="0.3">
      <c r="B53"/>
      <c r="D53"/>
      <c r="E53"/>
      <c r="F53"/>
      <c r="G53"/>
      <c r="H53"/>
      <c r="I53" s="81" t="s">
        <v>381</v>
      </c>
      <c r="J53" s="82"/>
      <c r="K53" s="55">
        <f>(SUM(K19,K33:K52))</f>
        <v>17881</v>
      </c>
      <c r="M53" s="28">
        <v>1</v>
      </c>
      <c r="N53"/>
      <c r="O53"/>
      <c r="AA53"/>
      <c r="AB53"/>
      <c r="AE53"/>
      <c r="AF53"/>
      <c r="AH53"/>
      <c r="AI53"/>
      <c r="AK53"/>
      <c r="AL53"/>
      <c r="AM53"/>
      <c r="AN53"/>
      <c r="AO53"/>
      <c r="AP53"/>
      <c r="AQ53"/>
    </row>
    <row r="54" spans="1:43" x14ac:dyDescent="0.25">
      <c r="A54"/>
      <c r="B54" s="139"/>
      <c r="C54" s="139"/>
      <c r="D54" s="139"/>
      <c r="E54" s="139"/>
      <c r="F54" s="139"/>
      <c r="AJ54" s="28"/>
    </row>
    <row r="55" spans="1:43" x14ac:dyDescent="0.25">
      <c r="A55"/>
      <c r="B55" s="8"/>
      <c r="C55" s="8"/>
      <c r="D55" s="34"/>
    </row>
    <row r="56" spans="1:43" x14ac:dyDescent="0.25">
      <c r="A56"/>
      <c r="B56" s="8"/>
      <c r="C56" s="8"/>
      <c r="D56" s="34"/>
      <c r="Y56" s="28"/>
    </row>
    <row r="57" spans="1:43" x14ac:dyDescent="0.25">
      <c r="A57"/>
      <c r="B57" s="8"/>
      <c r="C57" s="8"/>
      <c r="D57" s="34"/>
    </row>
    <row r="58" spans="1:43" x14ac:dyDescent="0.25">
      <c r="A58"/>
      <c r="B58" s="8"/>
      <c r="C58" s="8"/>
      <c r="D58" s="34"/>
    </row>
    <row r="59" spans="1:43" x14ac:dyDescent="0.25">
      <c r="A59"/>
      <c r="B59" s="11"/>
      <c r="C59" s="35"/>
      <c r="D59" s="34"/>
    </row>
  </sheetData>
  <mergeCells count="55">
    <mergeCell ref="B54:F54"/>
    <mergeCell ref="E42:J42"/>
    <mergeCell ref="B35:C35"/>
    <mergeCell ref="B36:C36"/>
    <mergeCell ref="B38:C38"/>
    <mergeCell ref="B39:C39"/>
    <mergeCell ref="B42:C42"/>
    <mergeCell ref="B43:C43"/>
    <mergeCell ref="B44:C44"/>
    <mergeCell ref="B49:C49"/>
    <mergeCell ref="B50:C50"/>
    <mergeCell ref="D35:J35"/>
    <mergeCell ref="D36:J36"/>
    <mergeCell ref="B41:C41"/>
    <mergeCell ref="D41:J41"/>
    <mergeCell ref="D43:J43"/>
    <mergeCell ref="A8:C8"/>
    <mergeCell ref="A9:C9"/>
    <mergeCell ref="D11:H11"/>
    <mergeCell ref="D12:H12"/>
    <mergeCell ref="D19:E19"/>
    <mergeCell ref="D17:E17"/>
    <mergeCell ref="A15:H15"/>
    <mergeCell ref="A14:C14"/>
    <mergeCell ref="A11:C11"/>
    <mergeCell ref="A12:C12"/>
    <mergeCell ref="A19:C19"/>
    <mergeCell ref="A17:C17"/>
    <mergeCell ref="F19:H19"/>
    <mergeCell ref="B46:J46"/>
    <mergeCell ref="A32:K32"/>
    <mergeCell ref="D38:J38"/>
    <mergeCell ref="D39:J39"/>
    <mergeCell ref="D37:J37"/>
    <mergeCell ref="B37:C37"/>
    <mergeCell ref="B33:C33"/>
    <mergeCell ref="D33:J33"/>
    <mergeCell ref="B40:C40"/>
    <mergeCell ref="E40:J40"/>
    <mergeCell ref="D44:J44"/>
    <mergeCell ref="B45:C45"/>
    <mergeCell ref="E45:J45"/>
    <mergeCell ref="D34:H34"/>
    <mergeCell ref="I34:J34"/>
    <mergeCell ref="I53:J53"/>
    <mergeCell ref="B47:C48"/>
    <mergeCell ref="A47:A48"/>
    <mergeCell ref="D48:J48"/>
    <mergeCell ref="E49:J49"/>
    <mergeCell ref="B52:C52"/>
    <mergeCell ref="D52:J52"/>
    <mergeCell ref="D47:J47"/>
    <mergeCell ref="D51:J51"/>
    <mergeCell ref="E50:J50"/>
    <mergeCell ref="B51:C51"/>
  </mergeCells>
  <dataValidations count="6">
    <dataValidation type="list" allowBlank="1" showInputMessage="1" showErrorMessage="1" sqref="F52 F39">
      <formula1>$AH$35:$AH$42</formula1>
    </dataValidation>
    <dataValidation type="list" allowBlank="1" showInputMessage="1" showErrorMessage="1" sqref="D19">
      <formula1>$AH$4:$AH$31</formula1>
    </dataValidation>
    <dataValidation type="list" allowBlank="1" showInputMessage="1" showErrorMessage="1" sqref="D45">
      <formula1>$AN$34:$AN$37</formula1>
    </dataValidation>
    <dataValidation type="list" allowBlank="1" showInputMessage="1" showErrorMessage="1" sqref="D42">
      <formula1>$AK$34:$AK$49</formula1>
    </dataValidation>
    <dataValidation type="list" allowBlank="1" showInputMessage="1" showErrorMessage="1" sqref="C34">
      <formula1>$AL$35:$AL$47</formula1>
    </dataValidation>
    <dataValidation type="list" allowBlank="1" showInputMessage="1" showErrorMessage="1" sqref="D40">
      <formula1>$AI$34:$AI$49</formula1>
    </dataValidation>
  </dataValidations>
  <pageMargins left="0.7" right="0.7" top="0.75" bottom="0.75" header="0.3" footer="0.3"/>
  <pageSetup scale="78" orientation="portrait" r:id="rId1"/>
  <colBreaks count="1" manualBreakCount="1">
    <brk id="1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32</xdr:row>
                    <xdr:rowOff>371475</xdr:rowOff>
                  </from>
                  <to>
                    <xdr:col>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35</xdr:row>
                    <xdr:rowOff>171450</xdr:rowOff>
                  </from>
                  <to>
                    <xdr:col>1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34</xdr:row>
                    <xdr:rowOff>171450</xdr:rowOff>
                  </from>
                  <to>
                    <xdr:col>1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33</xdr:row>
                    <xdr:rowOff>161925</xdr:rowOff>
                  </from>
                  <to>
                    <xdr:col>1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42</xdr:row>
                    <xdr:rowOff>180975</xdr:rowOff>
                  </from>
                  <to>
                    <xdr:col>1</xdr:col>
                    <xdr:colOff>142875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180975</xdr:rowOff>
                  </from>
                  <to>
                    <xdr:col>1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9525</xdr:colOff>
                    <xdr:row>41</xdr:row>
                    <xdr:rowOff>180975</xdr:rowOff>
                  </from>
                  <to>
                    <xdr:col>1</xdr:col>
                    <xdr:colOff>142875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45</xdr:row>
                    <xdr:rowOff>171450</xdr:rowOff>
                  </from>
                  <to>
                    <xdr:col>3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48</xdr:row>
                    <xdr:rowOff>76200</xdr:rowOff>
                  </from>
                  <to>
                    <xdr:col>1</xdr:col>
                    <xdr:colOff>142875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49</xdr:row>
                    <xdr:rowOff>76200</xdr:rowOff>
                  </from>
                  <to>
                    <xdr:col>1</xdr:col>
                    <xdr:colOff>142875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9525</xdr:colOff>
                    <xdr:row>49</xdr:row>
                    <xdr:rowOff>371475</xdr:rowOff>
                  </from>
                  <to>
                    <xdr:col>1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9525</xdr:colOff>
                    <xdr:row>37</xdr:row>
                    <xdr:rowOff>371475</xdr:rowOff>
                  </from>
                  <to>
                    <xdr:col>1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37</xdr:row>
                    <xdr:rowOff>66675</xdr:rowOff>
                  </from>
                  <to>
                    <xdr:col>1</xdr:col>
                    <xdr:colOff>133350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0</xdr:col>
                    <xdr:colOff>9525</xdr:colOff>
                    <xdr:row>39</xdr:row>
                    <xdr:rowOff>171450</xdr:rowOff>
                  </from>
                  <to>
                    <xdr:col>1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171450</xdr:rowOff>
                  </from>
                  <to>
                    <xdr:col>3</xdr:col>
                    <xdr:colOff>381000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0</xdr:col>
                    <xdr:colOff>9525</xdr:colOff>
                    <xdr:row>43</xdr:row>
                    <xdr:rowOff>171450</xdr:rowOff>
                  </from>
                  <to>
                    <xdr:col>1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0</xdr:col>
                    <xdr:colOff>9525</xdr:colOff>
                    <xdr:row>44</xdr:row>
                    <xdr:rowOff>180975</xdr:rowOff>
                  </from>
                  <to>
                    <xdr:col>1</xdr:col>
                    <xdr:colOff>76200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0</xdr:col>
                    <xdr:colOff>9525</xdr:colOff>
                    <xdr:row>51</xdr:row>
                    <xdr:rowOff>0</xdr:rowOff>
                  </from>
                  <to>
                    <xdr:col>1</xdr:col>
                    <xdr:colOff>9525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180975</xdr:rowOff>
                  </from>
                  <to>
                    <xdr:col>1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Lookup!$C$410:$C$415</xm:f>
          </x14:formula1>
          <xm:sqref>D49</xm:sqref>
        </x14:dataValidation>
        <x14:dataValidation type="list" allowBlank="1" showInputMessage="1" showErrorMessage="1">
          <x14:formula1>
            <xm:f>Lookup!$C$536:$C$555</xm:f>
          </x14:formula1>
          <xm:sqref>D50</xm:sqref>
        </x14:dataValidation>
        <x14:dataValidation type="list" allowBlank="1" showInputMessage="1" showErrorMessage="1">
          <x14:formula1>
            <xm:f>Lookup!$D$369:$D$375</xm:f>
          </x14:formula1>
          <xm:sqref>D38:J38</xm:sqref>
        </x14:dataValidation>
        <x14:dataValidation type="list" allowBlank="1" showInputMessage="1" showErrorMessage="1">
          <x14:formula1>
            <xm:f>Lookup!$K$559:$K$561</xm:f>
          </x14:formula1>
          <xm:sqref>D33:J33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BA562"/>
  <sheetViews>
    <sheetView topLeftCell="A327" zoomScale="70" zoomScaleNormal="70" workbookViewId="0">
      <selection activeCell="I543" sqref="I543"/>
    </sheetView>
  </sheetViews>
  <sheetFormatPr defaultRowHeight="15" x14ac:dyDescent="0.25"/>
  <cols>
    <col min="2" max="2" width="9.140625" style="10"/>
    <col min="3" max="3" width="23.85546875" bestFit="1" customWidth="1"/>
    <col min="7" max="7" width="14.7109375" customWidth="1"/>
    <col min="8" max="8" width="19.42578125" customWidth="1"/>
    <col min="9" max="10" width="11.140625" bestFit="1" customWidth="1"/>
    <col min="11" max="11" width="13" style="3" customWidth="1"/>
    <col min="13" max="13" width="10.42578125" bestFit="1" customWidth="1"/>
    <col min="14" max="14" width="11.140625" bestFit="1" customWidth="1"/>
    <col min="18" max="18" width="10.7109375" bestFit="1" customWidth="1"/>
    <col min="20" max="20" width="11.140625" style="4" bestFit="1" customWidth="1"/>
    <col min="28" max="28" width="9.140625" style="3"/>
    <col min="30" max="30" width="11.42578125" bestFit="1" customWidth="1"/>
    <col min="36" max="36" width="9.140625" style="3"/>
    <col min="38" max="38" width="20.85546875" bestFit="1" customWidth="1"/>
    <col min="45" max="45" width="9.140625" style="3"/>
    <col min="47" max="47" width="23.140625" bestFit="1" customWidth="1"/>
    <col min="53" max="53" width="10.140625" style="3" bestFit="1" customWidth="1"/>
  </cols>
  <sheetData>
    <row r="5" spans="2:11" x14ac:dyDescent="0.25">
      <c r="C5" t="s">
        <v>0</v>
      </c>
      <c r="D5" t="s">
        <v>1</v>
      </c>
      <c r="K5" s="3" t="s">
        <v>16</v>
      </c>
    </row>
    <row r="6" spans="2:11" x14ac:dyDescent="0.25">
      <c r="B6" s="10">
        <f>IF('Quote Sheet'!$D$19=Lookup!C6,1,0)</f>
        <v>0</v>
      </c>
      <c r="C6" s="1" t="s">
        <v>12</v>
      </c>
      <c r="D6" s="2" t="s">
        <v>2</v>
      </c>
      <c r="K6" s="59">
        <v>4804</v>
      </c>
    </row>
    <row r="7" spans="2:11" x14ac:dyDescent="0.25">
      <c r="B7" s="10">
        <f>B6*2</f>
        <v>0</v>
      </c>
      <c r="C7" s="1" t="s">
        <v>12</v>
      </c>
      <c r="D7" s="2" t="s">
        <v>3</v>
      </c>
      <c r="K7" s="58"/>
    </row>
    <row r="8" spans="2:11" x14ac:dyDescent="0.25">
      <c r="B8" s="10">
        <f t="shared" ref="B8:B17" si="0">B7*2</f>
        <v>0</v>
      </c>
      <c r="C8" s="1" t="s">
        <v>12</v>
      </c>
      <c r="D8" s="2" t="s">
        <v>413</v>
      </c>
      <c r="K8" s="58"/>
    </row>
    <row r="9" spans="2:11" x14ac:dyDescent="0.25">
      <c r="B9" s="10">
        <f t="shared" si="0"/>
        <v>0</v>
      </c>
      <c r="C9" s="1" t="s">
        <v>12</v>
      </c>
      <c r="D9" s="2" t="s">
        <v>4</v>
      </c>
      <c r="K9" s="58"/>
    </row>
    <row r="10" spans="2:11" x14ac:dyDescent="0.25">
      <c r="B10" s="10">
        <f t="shared" si="0"/>
        <v>0</v>
      </c>
      <c r="C10" s="1" t="s">
        <v>12</v>
      </c>
      <c r="D10" s="2" t="s">
        <v>5</v>
      </c>
      <c r="K10" s="58"/>
    </row>
    <row r="11" spans="2:11" x14ac:dyDescent="0.25">
      <c r="B11" s="10">
        <f t="shared" si="0"/>
        <v>0</v>
      </c>
      <c r="C11" s="1" t="s">
        <v>12</v>
      </c>
      <c r="D11" s="2" t="s">
        <v>6</v>
      </c>
      <c r="K11" s="58"/>
    </row>
    <row r="12" spans="2:11" x14ac:dyDescent="0.25">
      <c r="B12" s="10">
        <f t="shared" si="0"/>
        <v>0</v>
      </c>
      <c r="C12" s="1" t="s">
        <v>12</v>
      </c>
      <c r="D12" s="2" t="s">
        <v>7</v>
      </c>
      <c r="K12" s="58"/>
    </row>
    <row r="13" spans="2:11" x14ac:dyDescent="0.25">
      <c r="B13" s="10">
        <f t="shared" si="0"/>
        <v>0</v>
      </c>
      <c r="C13" s="1" t="s">
        <v>12</v>
      </c>
      <c r="D13" s="2" t="s">
        <v>8</v>
      </c>
      <c r="K13" s="58"/>
    </row>
    <row r="14" spans="2:11" x14ac:dyDescent="0.25">
      <c r="B14" s="10">
        <f t="shared" si="0"/>
        <v>0</v>
      </c>
      <c r="C14" s="1" t="s">
        <v>12</v>
      </c>
      <c r="D14" s="2" t="s">
        <v>9</v>
      </c>
      <c r="K14" s="58"/>
    </row>
    <row r="15" spans="2:11" x14ac:dyDescent="0.25">
      <c r="B15" s="10">
        <f t="shared" si="0"/>
        <v>0</v>
      </c>
      <c r="C15" s="1" t="s">
        <v>12</v>
      </c>
      <c r="D15" s="2" t="s">
        <v>10</v>
      </c>
      <c r="K15" s="58"/>
    </row>
    <row r="16" spans="2:11" x14ac:dyDescent="0.25">
      <c r="B16" s="10">
        <f t="shared" si="0"/>
        <v>0</v>
      </c>
      <c r="C16" s="1" t="s">
        <v>12</v>
      </c>
      <c r="D16" s="2" t="s">
        <v>11</v>
      </c>
      <c r="K16" s="58"/>
    </row>
    <row r="17" spans="2:11" x14ac:dyDescent="0.25">
      <c r="B17" s="10">
        <f t="shared" si="0"/>
        <v>0</v>
      </c>
      <c r="C17" s="1"/>
      <c r="D17" s="28"/>
      <c r="K17" s="58"/>
    </row>
    <row r="18" spans="2:11" x14ac:dyDescent="0.25">
      <c r="B18" s="10">
        <f>IF('Quote Sheet'!$D$19=Lookup!C18,1,0)</f>
        <v>0</v>
      </c>
      <c r="C18" t="s">
        <v>13</v>
      </c>
      <c r="D18" s="2" t="s">
        <v>2</v>
      </c>
      <c r="K18" s="59">
        <v>5785</v>
      </c>
    </row>
    <row r="19" spans="2:11" x14ac:dyDescent="0.25">
      <c r="B19" s="10">
        <f>B18*2</f>
        <v>0</v>
      </c>
      <c r="C19" t="s">
        <v>13</v>
      </c>
      <c r="D19" s="2" t="s">
        <v>3</v>
      </c>
      <c r="K19" s="58"/>
    </row>
    <row r="20" spans="2:11" x14ac:dyDescent="0.25">
      <c r="B20" s="10">
        <f t="shared" ref="B20:B30" si="1">B19*2</f>
        <v>0</v>
      </c>
      <c r="C20" t="s">
        <v>13</v>
      </c>
      <c r="D20" s="2" t="s">
        <v>413</v>
      </c>
      <c r="K20" s="58"/>
    </row>
    <row r="21" spans="2:11" x14ac:dyDescent="0.25">
      <c r="B21" s="10">
        <f t="shared" si="1"/>
        <v>0</v>
      </c>
      <c r="C21" t="s">
        <v>13</v>
      </c>
      <c r="D21" s="2" t="s">
        <v>4</v>
      </c>
      <c r="K21" s="58"/>
    </row>
    <row r="22" spans="2:11" x14ac:dyDescent="0.25">
      <c r="B22" s="10">
        <f t="shared" si="1"/>
        <v>0</v>
      </c>
      <c r="C22" t="s">
        <v>13</v>
      </c>
      <c r="D22" s="2" t="s">
        <v>5</v>
      </c>
      <c r="K22" s="58"/>
    </row>
    <row r="23" spans="2:11" x14ac:dyDescent="0.25">
      <c r="B23" s="10">
        <f t="shared" si="1"/>
        <v>0</v>
      </c>
      <c r="C23" t="s">
        <v>13</v>
      </c>
      <c r="D23" s="2" t="s">
        <v>6</v>
      </c>
      <c r="K23" s="58"/>
    </row>
    <row r="24" spans="2:11" x14ac:dyDescent="0.25">
      <c r="B24" s="10">
        <f t="shared" si="1"/>
        <v>0</v>
      </c>
      <c r="C24" t="s">
        <v>13</v>
      </c>
      <c r="D24" s="2" t="s">
        <v>14</v>
      </c>
      <c r="K24" s="58"/>
    </row>
    <row r="25" spans="2:11" x14ac:dyDescent="0.25">
      <c r="B25" s="10">
        <f t="shared" si="1"/>
        <v>0</v>
      </c>
      <c r="C25" t="s">
        <v>13</v>
      </c>
      <c r="D25" s="2" t="s">
        <v>15</v>
      </c>
      <c r="K25" s="58"/>
    </row>
    <row r="26" spans="2:11" x14ac:dyDescent="0.25">
      <c r="B26" s="10">
        <f t="shared" si="1"/>
        <v>0</v>
      </c>
      <c r="C26" t="s">
        <v>13</v>
      </c>
      <c r="D26" s="2" t="s">
        <v>8</v>
      </c>
      <c r="K26" s="58"/>
    </row>
    <row r="27" spans="2:11" x14ac:dyDescent="0.25">
      <c r="B27" s="10">
        <f t="shared" si="1"/>
        <v>0</v>
      </c>
      <c r="C27" t="s">
        <v>13</v>
      </c>
      <c r="D27" s="2" t="s">
        <v>9</v>
      </c>
      <c r="K27" s="58"/>
    </row>
    <row r="28" spans="2:11" x14ac:dyDescent="0.25">
      <c r="B28" s="10">
        <f t="shared" si="1"/>
        <v>0</v>
      </c>
      <c r="C28" t="s">
        <v>13</v>
      </c>
      <c r="D28" s="2" t="s">
        <v>10</v>
      </c>
      <c r="K28" s="58"/>
    </row>
    <row r="29" spans="2:11" x14ac:dyDescent="0.25">
      <c r="B29" s="10">
        <f t="shared" si="1"/>
        <v>0</v>
      </c>
      <c r="C29" t="s">
        <v>13</v>
      </c>
      <c r="D29" s="2" t="s">
        <v>11</v>
      </c>
      <c r="K29" s="58"/>
    </row>
    <row r="30" spans="2:11" x14ac:dyDescent="0.25">
      <c r="B30" s="10">
        <f t="shared" si="1"/>
        <v>0</v>
      </c>
      <c r="D30" s="28"/>
      <c r="K30" s="58"/>
    </row>
    <row r="31" spans="2:11" x14ac:dyDescent="0.25">
      <c r="B31" s="10">
        <f>IF('Quote Sheet'!$D$19=Lookup!C31,1,0)</f>
        <v>0</v>
      </c>
      <c r="C31" t="s">
        <v>17</v>
      </c>
      <c r="D31" s="2" t="s">
        <v>18</v>
      </c>
      <c r="K31" s="59">
        <v>6658</v>
      </c>
    </row>
    <row r="32" spans="2:11" x14ac:dyDescent="0.25">
      <c r="B32" s="10">
        <f>B31*2</f>
        <v>0</v>
      </c>
      <c r="C32" t="s">
        <v>17</v>
      </c>
      <c r="D32" s="2" t="s">
        <v>19</v>
      </c>
      <c r="K32" s="58"/>
    </row>
    <row r="33" spans="2:11" x14ac:dyDescent="0.25">
      <c r="B33" s="10">
        <f t="shared" ref="B33:B42" si="2">B32*2</f>
        <v>0</v>
      </c>
      <c r="C33" t="s">
        <v>17</v>
      </c>
      <c r="D33" s="2" t="s">
        <v>413</v>
      </c>
      <c r="K33" s="58"/>
    </row>
    <row r="34" spans="2:11" x14ac:dyDescent="0.25">
      <c r="B34" s="10">
        <f t="shared" si="2"/>
        <v>0</v>
      </c>
      <c r="C34" t="s">
        <v>17</v>
      </c>
      <c r="D34" s="2" t="s">
        <v>4</v>
      </c>
      <c r="K34" s="58"/>
    </row>
    <row r="35" spans="2:11" x14ac:dyDescent="0.25">
      <c r="B35" s="10">
        <f t="shared" si="2"/>
        <v>0</v>
      </c>
      <c r="C35" t="s">
        <v>17</v>
      </c>
      <c r="D35" s="2" t="s">
        <v>20</v>
      </c>
      <c r="K35" s="58"/>
    </row>
    <row r="36" spans="2:11" x14ac:dyDescent="0.25">
      <c r="B36" s="10">
        <f t="shared" si="2"/>
        <v>0</v>
      </c>
      <c r="C36" t="s">
        <v>17</v>
      </c>
      <c r="D36" s="2" t="s">
        <v>6</v>
      </c>
      <c r="K36" s="58"/>
    </row>
    <row r="37" spans="2:11" x14ac:dyDescent="0.25">
      <c r="B37" s="10">
        <f t="shared" si="2"/>
        <v>0</v>
      </c>
      <c r="C37" t="s">
        <v>17</v>
      </c>
      <c r="D37" s="2" t="s">
        <v>15</v>
      </c>
      <c r="K37" s="58"/>
    </row>
    <row r="38" spans="2:11" x14ac:dyDescent="0.25">
      <c r="B38" s="10">
        <f t="shared" si="2"/>
        <v>0</v>
      </c>
      <c r="C38" t="s">
        <v>17</v>
      </c>
      <c r="D38" s="2" t="s">
        <v>8</v>
      </c>
      <c r="K38" s="58"/>
    </row>
    <row r="39" spans="2:11" x14ac:dyDescent="0.25">
      <c r="B39" s="10">
        <f t="shared" si="2"/>
        <v>0</v>
      </c>
      <c r="C39" t="s">
        <v>17</v>
      </c>
      <c r="D39" s="2" t="s">
        <v>9</v>
      </c>
      <c r="K39" s="58"/>
    </row>
    <row r="40" spans="2:11" x14ac:dyDescent="0.25">
      <c r="B40" s="10">
        <f t="shared" si="2"/>
        <v>0</v>
      </c>
      <c r="C40" t="s">
        <v>17</v>
      </c>
      <c r="D40" s="2" t="s">
        <v>10</v>
      </c>
      <c r="K40" s="58"/>
    </row>
    <row r="41" spans="2:11" x14ac:dyDescent="0.25">
      <c r="B41" s="10">
        <f t="shared" si="2"/>
        <v>0</v>
      </c>
      <c r="C41" t="s">
        <v>17</v>
      </c>
      <c r="D41" s="2" t="s">
        <v>11</v>
      </c>
      <c r="K41" s="58"/>
    </row>
    <row r="42" spans="2:11" x14ac:dyDescent="0.25">
      <c r="B42" s="10">
        <f t="shared" si="2"/>
        <v>0</v>
      </c>
      <c r="D42" s="28"/>
      <c r="K42" s="58"/>
    </row>
    <row r="43" spans="2:11" x14ac:dyDescent="0.25">
      <c r="B43" s="10">
        <f>IF('Quote Sheet'!$D$19=Lookup!C43,1,0)</f>
        <v>0</v>
      </c>
      <c r="C43" t="s">
        <v>21</v>
      </c>
      <c r="D43" s="2" t="s">
        <v>22</v>
      </c>
      <c r="K43" s="59">
        <v>7476</v>
      </c>
    </row>
    <row r="44" spans="2:11" x14ac:dyDescent="0.25">
      <c r="B44" s="10">
        <f>B43*2</f>
        <v>0</v>
      </c>
      <c r="C44" t="s">
        <v>21</v>
      </c>
      <c r="D44" s="2" t="s">
        <v>23</v>
      </c>
      <c r="K44" s="58"/>
    </row>
    <row r="45" spans="2:11" x14ac:dyDescent="0.25">
      <c r="B45" s="10">
        <f t="shared" ref="B45:B54" si="3">B44*2</f>
        <v>0</v>
      </c>
      <c r="C45" t="s">
        <v>21</v>
      </c>
      <c r="D45" s="2" t="s">
        <v>413</v>
      </c>
      <c r="K45" s="58"/>
    </row>
    <row r="46" spans="2:11" x14ac:dyDescent="0.25">
      <c r="B46" s="10">
        <f t="shared" si="3"/>
        <v>0</v>
      </c>
      <c r="C46" t="s">
        <v>21</v>
      </c>
      <c r="D46" s="2" t="s">
        <v>4</v>
      </c>
      <c r="K46" s="58"/>
    </row>
    <row r="47" spans="2:11" x14ac:dyDescent="0.25">
      <c r="B47" s="10">
        <f t="shared" si="3"/>
        <v>0</v>
      </c>
      <c r="C47" t="s">
        <v>21</v>
      </c>
      <c r="D47" s="2" t="s">
        <v>20</v>
      </c>
      <c r="K47" s="58"/>
    </row>
    <row r="48" spans="2:11" x14ac:dyDescent="0.25">
      <c r="B48" s="10">
        <f t="shared" si="3"/>
        <v>0</v>
      </c>
      <c r="C48" t="s">
        <v>21</v>
      </c>
      <c r="D48" s="2" t="s">
        <v>24</v>
      </c>
      <c r="K48" s="58"/>
    </row>
    <row r="49" spans="2:11" x14ac:dyDescent="0.25">
      <c r="B49" s="10">
        <f t="shared" si="3"/>
        <v>0</v>
      </c>
      <c r="C49" t="s">
        <v>21</v>
      </c>
      <c r="D49" s="2" t="s">
        <v>15</v>
      </c>
      <c r="K49" s="58"/>
    </row>
    <row r="50" spans="2:11" x14ac:dyDescent="0.25">
      <c r="B50" s="10">
        <f t="shared" si="3"/>
        <v>0</v>
      </c>
      <c r="C50" t="s">
        <v>21</v>
      </c>
      <c r="D50" s="2" t="s">
        <v>8</v>
      </c>
      <c r="K50" s="58"/>
    </row>
    <row r="51" spans="2:11" x14ac:dyDescent="0.25">
      <c r="B51" s="10">
        <f t="shared" si="3"/>
        <v>0</v>
      </c>
      <c r="C51" t="s">
        <v>21</v>
      </c>
      <c r="D51" s="2" t="s">
        <v>9</v>
      </c>
      <c r="K51" s="58"/>
    </row>
    <row r="52" spans="2:11" x14ac:dyDescent="0.25">
      <c r="B52" s="10">
        <f t="shared" si="3"/>
        <v>0</v>
      </c>
      <c r="C52" t="s">
        <v>21</v>
      </c>
      <c r="D52" s="2" t="s">
        <v>25</v>
      </c>
      <c r="K52" s="58"/>
    </row>
    <row r="53" spans="2:11" x14ac:dyDescent="0.25">
      <c r="B53" s="10">
        <f t="shared" si="3"/>
        <v>0</v>
      </c>
      <c r="C53" t="s">
        <v>21</v>
      </c>
      <c r="D53" s="2" t="s">
        <v>11</v>
      </c>
      <c r="K53" s="58"/>
    </row>
    <row r="54" spans="2:11" x14ac:dyDescent="0.25">
      <c r="B54" s="10">
        <f t="shared" si="3"/>
        <v>0</v>
      </c>
      <c r="D54" s="28"/>
      <c r="K54" s="58"/>
    </row>
    <row r="55" spans="2:11" x14ac:dyDescent="0.25">
      <c r="B55" s="10">
        <f>IF('Quote Sheet'!$D$19=Lookup!C55,1,0)</f>
        <v>1</v>
      </c>
      <c r="C55" t="s">
        <v>26</v>
      </c>
      <c r="D55" s="2" t="s">
        <v>27</v>
      </c>
      <c r="K55" s="59">
        <v>8466</v>
      </c>
    </row>
    <row r="56" spans="2:11" x14ac:dyDescent="0.25">
      <c r="B56" s="10">
        <f>B55*2</f>
        <v>2</v>
      </c>
      <c r="C56" t="s">
        <v>26</v>
      </c>
      <c r="D56" s="2" t="s">
        <v>28</v>
      </c>
      <c r="K56" s="58"/>
    </row>
    <row r="57" spans="2:11" x14ac:dyDescent="0.25">
      <c r="B57" s="10">
        <f t="shared" ref="B57:B66" si="4">B56*2</f>
        <v>4</v>
      </c>
      <c r="C57" t="s">
        <v>26</v>
      </c>
      <c r="D57" s="2" t="s">
        <v>413</v>
      </c>
      <c r="K57" s="58"/>
    </row>
    <row r="58" spans="2:11" x14ac:dyDescent="0.25">
      <c r="B58" s="10">
        <f t="shared" si="4"/>
        <v>8</v>
      </c>
      <c r="C58" t="s">
        <v>26</v>
      </c>
      <c r="D58" s="2" t="s">
        <v>4</v>
      </c>
      <c r="K58" s="58"/>
    </row>
    <row r="59" spans="2:11" x14ac:dyDescent="0.25">
      <c r="B59" s="10">
        <f t="shared" si="4"/>
        <v>16</v>
      </c>
      <c r="C59" t="s">
        <v>26</v>
      </c>
      <c r="D59" s="2" t="s">
        <v>29</v>
      </c>
      <c r="K59" s="58"/>
    </row>
    <row r="60" spans="2:11" x14ac:dyDescent="0.25">
      <c r="B60" s="10">
        <f t="shared" si="4"/>
        <v>32</v>
      </c>
      <c r="C60" t="s">
        <v>26</v>
      </c>
      <c r="D60" s="2" t="s">
        <v>24</v>
      </c>
      <c r="K60" s="58"/>
    </row>
    <row r="61" spans="2:11" x14ac:dyDescent="0.25">
      <c r="B61" s="10">
        <f t="shared" si="4"/>
        <v>64</v>
      </c>
      <c r="C61" t="s">
        <v>26</v>
      </c>
      <c r="D61" s="2" t="s">
        <v>15</v>
      </c>
      <c r="K61" s="58"/>
    </row>
    <row r="62" spans="2:11" x14ac:dyDescent="0.25">
      <c r="B62" s="10">
        <f t="shared" si="4"/>
        <v>128</v>
      </c>
      <c r="C62" t="s">
        <v>26</v>
      </c>
      <c r="D62" s="2" t="s">
        <v>8</v>
      </c>
      <c r="K62" s="58"/>
    </row>
    <row r="63" spans="2:11" x14ac:dyDescent="0.25">
      <c r="B63" s="10">
        <f t="shared" si="4"/>
        <v>256</v>
      </c>
      <c r="C63" t="s">
        <v>26</v>
      </c>
      <c r="D63" s="2" t="s">
        <v>9</v>
      </c>
      <c r="K63" s="58"/>
    </row>
    <row r="64" spans="2:11" x14ac:dyDescent="0.25">
      <c r="B64" s="10">
        <f t="shared" si="4"/>
        <v>512</v>
      </c>
      <c r="C64" t="s">
        <v>26</v>
      </c>
      <c r="D64" s="2" t="s">
        <v>10</v>
      </c>
      <c r="K64" s="58"/>
    </row>
    <row r="65" spans="2:11" x14ac:dyDescent="0.25">
      <c r="B65" s="10">
        <f t="shared" si="4"/>
        <v>1024</v>
      </c>
      <c r="C65" t="s">
        <v>26</v>
      </c>
      <c r="D65" s="2" t="s">
        <v>11</v>
      </c>
      <c r="K65" s="58"/>
    </row>
    <row r="66" spans="2:11" x14ac:dyDescent="0.25">
      <c r="B66" s="10">
        <f t="shared" si="4"/>
        <v>2048</v>
      </c>
      <c r="D66" s="28"/>
    </row>
    <row r="67" spans="2:11" x14ac:dyDescent="0.25">
      <c r="B67" s="10">
        <f>IF('Quote Sheet'!$D$19=Lookup!C67,1,0)</f>
        <v>0</v>
      </c>
      <c r="C67" t="s">
        <v>31</v>
      </c>
      <c r="D67" s="2" t="s">
        <v>32</v>
      </c>
      <c r="K67" s="59">
        <v>10914</v>
      </c>
    </row>
    <row r="68" spans="2:11" x14ac:dyDescent="0.25">
      <c r="B68" s="10">
        <f>B67*2</f>
        <v>0</v>
      </c>
      <c r="C68" t="s">
        <v>31</v>
      </c>
      <c r="D68" s="2" t="s">
        <v>33</v>
      </c>
      <c r="K68" s="58"/>
    </row>
    <row r="69" spans="2:11" x14ac:dyDescent="0.25">
      <c r="B69" s="10">
        <f t="shared" ref="B69:B78" si="5">B68*2</f>
        <v>0</v>
      </c>
      <c r="C69" t="s">
        <v>31</v>
      </c>
      <c r="D69" s="2" t="s">
        <v>413</v>
      </c>
      <c r="K69" s="58"/>
    </row>
    <row r="70" spans="2:11" x14ac:dyDescent="0.25">
      <c r="B70" s="10">
        <f t="shared" si="5"/>
        <v>0</v>
      </c>
      <c r="C70" t="s">
        <v>31</v>
      </c>
      <c r="D70" s="2" t="s">
        <v>4</v>
      </c>
      <c r="K70" s="58"/>
    </row>
    <row r="71" spans="2:11" x14ac:dyDescent="0.25">
      <c r="B71" s="10">
        <f t="shared" si="5"/>
        <v>0</v>
      </c>
      <c r="C71" t="s">
        <v>31</v>
      </c>
      <c r="D71" s="2" t="s">
        <v>29</v>
      </c>
      <c r="K71" s="58"/>
    </row>
    <row r="72" spans="2:11" x14ac:dyDescent="0.25">
      <c r="B72" s="10">
        <f t="shared" si="5"/>
        <v>0</v>
      </c>
      <c r="C72" t="s">
        <v>31</v>
      </c>
      <c r="D72" s="2" t="s">
        <v>6</v>
      </c>
      <c r="K72" s="58"/>
    </row>
    <row r="73" spans="2:11" x14ac:dyDescent="0.25">
      <c r="B73" s="10">
        <f t="shared" si="5"/>
        <v>0</v>
      </c>
      <c r="C73" t="s">
        <v>31</v>
      </c>
      <c r="D73" s="2" t="s">
        <v>15</v>
      </c>
      <c r="K73" s="58"/>
    </row>
    <row r="74" spans="2:11" x14ac:dyDescent="0.25">
      <c r="B74" s="10">
        <f t="shared" si="5"/>
        <v>0</v>
      </c>
      <c r="C74" t="s">
        <v>31</v>
      </c>
      <c r="D74" s="2" t="s">
        <v>8</v>
      </c>
      <c r="K74" s="58"/>
    </row>
    <row r="75" spans="2:11" x14ac:dyDescent="0.25">
      <c r="B75" s="10">
        <f t="shared" si="5"/>
        <v>0</v>
      </c>
      <c r="C75" t="s">
        <v>31</v>
      </c>
      <c r="D75" s="2" t="s">
        <v>9</v>
      </c>
      <c r="K75" s="58"/>
    </row>
    <row r="76" spans="2:11" x14ac:dyDescent="0.25">
      <c r="B76" s="10">
        <f t="shared" si="5"/>
        <v>0</v>
      </c>
      <c r="C76" t="s">
        <v>31</v>
      </c>
      <c r="D76" s="2" t="s">
        <v>10</v>
      </c>
      <c r="K76" s="58"/>
    </row>
    <row r="77" spans="2:11" x14ac:dyDescent="0.25">
      <c r="B77" s="10">
        <f t="shared" si="5"/>
        <v>0</v>
      </c>
      <c r="C77" t="s">
        <v>31</v>
      </c>
      <c r="D77" s="2" t="s">
        <v>11</v>
      </c>
      <c r="K77" s="58"/>
    </row>
    <row r="78" spans="2:11" x14ac:dyDescent="0.25">
      <c r="B78" s="10">
        <f t="shared" si="5"/>
        <v>0</v>
      </c>
      <c r="D78" s="28"/>
    </row>
    <row r="79" spans="2:11" x14ac:dyDescent="0.25">
      <c r="B79" s="10">
        <f>IF('Quote Sheet'!$D$19=Lookup!C79,1,0)</f>
        <v>0</v>
      </c>
      <c r="C79" t="s">
        <v>30</v>
      </c>
      <c r="D79" s="2" t="s">
        <v>34</v>
      </c>
      <c r="K79" s="59">
        <v>10336</v>
      </c>
    </row>
    <row r="80" spans="2:11" x14ac:dyDescent="0.25">
      <c r="B80" s="10">
        <f>B79*2</f>
        <v>0</v>
      </c>
      <c r="C80" t="s">
        <v>30</v>
      </c>
      <c r="D80" s="2" t="s">
        <v>33</v>
      </c>
      <c r="K80" s="58"/>
    </row>
    <row r="81" spans="2:11" x14ac:dyDescent="0.25">
      <c r="B81" s="10">
        <f t="shared" ref="B81:B90" si="6">B80*2</f>
        <v>0</v>
      </c>
      <c r="C81" t="s">
        <v>30</v>
      </c>
      <c r="D81" s="2" t="s">
        <v>413</v>
      </c>
      <c r="K81" s="58"/>
    </row>
    <row r="82" spans="2:11" x14ac:dyDescent="0.25">
      <c r="B82" s="10">
        <f t="shared" si="6"/>
        <v>0</v>
      </c>
      <c r="C82" t="s">
        <v>30</v>
      </c>
      <c r="D82" s="2" t="s">
        <v>4</v>
      </c>
      <c r="K82" s="58"/>
    </row>
    <row r="83" spans="2:11" x14ac:dyDescent="0.25">
      <c r="B83" s="10">
        <f t="shared" si="6"/>
        <v>0</v>
      </c>
      <c r="C83" t="s">
        <v>30</v>
      </c>
      <c r="D83" s="2" t="s">
        <v>29</v>
      </c>
      <c r="K83" s="58"/>
    </row>
    <row r="84" spans="2:11" x14ac:dyDescent="0.25">
      <c r="B84" s="10">
        <f t="shared" si="6"/>
        <v>0</v>
      </c>
      <c r="C84" t="s">
        <v>30</v>
      </c>
      <c r="D84" s="2" t="s">
        <v>6</v>
      </c>
      <c r="K84" s="58"/>
    </row>
    <row r="85" spans="2:11" x14ac:dyDescent="0.25">
      <c r="B85" s="10">
        <f t="shared" si="6"/>
        <v>0</v>
      </c>
      <c r="C85" t="s">
        <v>30</v>
      </c>
      <c r="D85" s="2" t="s">
        <v>15</v>
      </c>
      <c r="K85" s="58"/>
    </row>
    <row r="86" spans="2:11" x14ac:dyDescent="0.25">
      <c r="B86" s="10">
        <f t="shared" si="6"/>
        <v>0</v>
      </c>
      <c r="C86" t="s">
        <v>30</v>
      </c>
      <c r="D86" s="2" t="s">
        <v>8</v>
      </c>
      <c r="K86" s="58"/>
    </row>
    <row r="87" spans="2:11" x14ac:dyDescent="0.25">
      <c r="B87" s="10">
        <f t="shared" si="6"/>
        <v>0</v>
      </c>
      <c r="C87" t="s">
        <v>30</v>
      </c>
      <c r="D87" s="2" t="s">
        <v>9</v>
      </c>
      <c r="K87" s="58"/>
    </row>
    <row r="88" spans="2:11" x14ac:dyDescent="0.25">
      <c r="B88" s="10">
        <f t="shared" si="6"/>
        <v>0</v>
      </c>
      <c r="C88" t="s">
        <v>30</v>
      </c>
      <c r="D88" s="2" t="s">
        <v>10</v>
      </c>
      <c r="K88" s="58"/>
    </row>
    <row r="89" spans="2:11" x14ac:dyDescent="0.25">
      <c r="B89" s="10">
        <f t="shared" si="6"/>
        <v>0</v>
      </c>
      <c r="C89" t="s">
        <v>30</v>
      </c>
      <c r="D89" s="2" t="s">
        <v>35</v>
      </c>
      <c r="K89" s="58"/>
    </row>
    <row r="90" spans="2:11" x14ac:dyDescent="0.25">
      <c r="B90" s="10">
        <f t="shared" si="6"/>
        <v>0</v>
      </c>
      <c r="D90" s="28"/>
    </row>
    <row r="91" spans="2:11" x14ac:dyDescent="0.25">
      <c r="B91" s="10">
        <f>IF('Quote Sheet'!$D$19=Lookup!C91,1,0)</f>
        <v>0</v>
      </c>
      <c r="C91" t="s">
        <v>36</v>
      </c>
      <c r="D91" s="2" t="s">
        <v>37</v>
      </c>
      <c r="K91" s="59">
        <v>13184</v>
      </c>
    </row>
    <row r="92" spans="2:11" x14ac:dyDescent="0.25">
      <c r="B92" s="10">
        <f>B91*2</f>
        <v>0</v>
      </c>
      <c r="C92" t="s">
        <v>36</v>
      </c>
      <c r="D92" s="2" t="s">
        <v>38</v>
      </c>
      <c r="K92" s="58"/>
    </row>
    <row r="93" spans="2:11" x14ac:dyDescent="0.25">
      <c r="B93" s="10">
        <f t="shared" ref="B93:B102" si="7">B92*2</f>
        <v>0</v>
      </c>
      <c r="C93" t="s">
        <v>36</v>
      </c>
      <c r="D93" s="2" t="s">
        <v>413</v>
      </c>
      <c r="K93" s="58"/>
    </row>
    <row r="94" spans="2:11" x14ac:dyDescent="0.25">
      <c r="B94" s="10">
        <f t="shared" si="7"/>
        <v>0</v>
      </c>
      <c r="C94" t="s">
        <v>36</v>
      </c>
      <c r="D94" s="2" t="s">
        <v>4</v>
      </c>
      <c r="K94" s="58"/>
    </row>
    <row r="95" spans="2:11" x14ac:dyDescent="0.25">
      <c r="B95" s="10">
        <f t="shared" si="7"/>
        <v>0</v>
      </c>
      <c r="C95" t="s">
        <v>36</v>
      </c>
      <c r="D95" s="2" t="s">
        <v>29</v>
      </c>
      <c r="K95" s="58"/>
    </row>
    <row r="96" spans="2:11" x14ac:dyDescent="0.25">
      <c r="B96" s="10">
        <f t="shared" si="7"/>
        <v>0</v>
      </c>
      <c r="C96" t="s">
        <v>36</v>
      </c>
      <c r="D96" s="2" t="s">
        <v>24</v>
      </c>
      <c r="K96" s="58"/>
    </row>
    <row r="97" spans="2:11" x14ac:dyDescent="0.25">
      <c r="B97" s="10">
        <f t="shared" si="7"/>
        <v>0</v>
      </c>
      <c r="C97" t="s">
        <v>36</v>
      </c>
      <c r="D97" s="2" t="s">
        <v>15</v>
      </c>
      <c r="K97" s="58"/>
    </row>
    <row r="98" spans="2:11" x14ac:dyDescent="0.25">
      <c r="B98" s="10">
        <f t="shared" si="7"/>
        <v>0</v>
      </c>
      <c r="C98" t="s">
        <v>36</v>
      </c>
      <c r="D98" s="2" t="s">
        <v>39</v>
      </c>
      <c r="K98" s="58"/>
    </row>
    <row r="99" spans="2:11" x14ac:dyDescent="0.25">
      <c r="B99" s="10">
        <f t="shared" si="7"/>
        <v>0</v>
      </c>
      <c r="C99" t="s">
        <v>36</v>
      </c>
      <c r="D99" s="2" t="s">
        <v>9</v>
      </c>
      <c r="K99" s="58"/>
    </row>
    <row r="100" spans="2:11" x14ac:dyDescent="0.25">
      <c r="B100" s="10">
        <f t="shared" si="7"/>
        <v>0</v>
      </c>
      <c r="C100" t="s">
        <v>36</v>
      </c>
      <c r="D100" s="2" t="s">
        <v>40</v>
      </c>
      <c r="K100" s="58"/>
    </row>
    <row r="101" spans="2:11" x14ac:dyDescent="0.25">
      <c r="B101" s="10">
        <f t="shared" si="7"/>
        <v>0</v>
      </c>
      <c r="C101" t="s">
        <v>36</v>
      </c>
      <c r="D101" s="2" t="s">
        <v>11</v>
      </c>
      <c r="K101" s="58"/>
    </row>
    <row r="102" spans="2:11" x14ac:dyDescent="0.25">
      <c r="B102" s="10">
        <f t="shared" si="7"/>
        <v>0</v>
      </c>
      <c r="D102" s="28"/>
    </row>
    <row r="103" spans="2:11" x14ac:dyDescent="0.25">
      <c r="B103" s="10">
        <f>IF('Quote Sheet'!$D$19=Lookup!C103,1,0)</f>
        <v>0</v>
      </c>
      <c r="C103" t="s">
        <v>41</v>
      </c>
      <c r="D103" s="2" t="s">
        <v>37</v>
      </c>
      <c r="K103" s="59">
        <v>12076</v>
      </c>
    </row>
    <row r="104" spans="2:11" x14ac:dyDescent="0.25">
      <c r="B104" s="10">
        <f>B103*2</f>
        <v>0</v>
      </c>
      <c r="C104" t="s">
        <v>41</v>
      </c>
      <c r="D104" s="2" t="s">
        <v>38</v>
      </c>
      <c r="K104" s="58"/>
    </row>
    <row r="105" spans="2:11" x14ac:dyDescent="0.25">
      <c r="B105" s="10">
        <f t="shared" ref="B105:B114" si="8">B104*2</f>
        <v>0</v>
      </c>
      <c r="C105" t="s">
        <v>41</v>
      </c>
      <c r="D105" s="2" t="s">
        <v>413</v>
      </c>
      <c r="K105" s="58"/>
    </row>
    <row r="106" spans="2:11" x14ac:dyDescent="0.25">
      <c r="B106" s="10">
        <f t="shared" si="8"/>
        <v>0</v>
      </c>
      <c r="C106" t="s">
        <v>41</v>
      </c>
      <c r="D106" s="2" t="s">
        <v>4</v>
      </c>
      <c r="K106" s="58"/>
    </row>
    <row r="107" spans="2:11" x14ac:dyDescent="0.25">
      <c r="B107" s="10">
        <f t="shared" si="8"/>
        <v>0</v>
      </c>
      <c r="C107" t="s">
        <v>41</v>
      </c>
      <c r="D107" s="2" t="s">
        <v>5</v>
      </c>
      <c r="K107" s="58"/>
    </row>
    <row r="108" spans="2:11" x14ac:dyDescent="0.25">
      <c r="B108" s="10">
        <f t="shared" si="8"/>
        <v>0</v>
      </c>
      <c r="C108" t="s">
        <v>41</v>
      </c>
      <c r="D108" s="2" t="s">
        <v>24</v>
      </c>
      <c r="K108" s="58"/>
    </row>
    <row r="109" spans="2:11" x14ac:dyDescent="0.25">
      <c r="B109" s="10">
        <f t="shared" si="8"/>
        <v>0</v>
      </c>
      <c r="C109" t="s">
        <v>41</v>
      </c>
      <c r="D109" s="2" t="s">
        <v>15</v>
      </c>
      <c r="K109" s="58"/>
    </row>
    <row r="110" spans="2:11" x14ac:dyDescent="0.25">
      <c r="B110" s="10">
        <f t="shared" si="8"/>
        <v>0</v>
      </c>
      <c r="C110" t="s">
        <v>41</v>
      </c>
      <c r="D110" s="2" t="s">
        <v>39</v>
      </c>
      <c r="K110" s="58"/>
    </row>
    <row r="111" spans="2:11" x14ac:dyDescent="0.25">
      <c r="B111" s="10">
        <f t="shared" si="8"/>
        <v>0</v>
      </c>
      <c r="C111" t="s">
        <v>41</v>
      </c>
      <c r="D111" s="2" t="s">
        <v>9</v>
      </c>
      <c r="K111" s="58"/>
    </row>
    <row r="112" spans="2:11" x14ac:dyDescent="0.25">
      <c r="B112" s="10">
        <f t="shared" si="8"/>
        <v>0</v>
      </c>
      <c r="C112" t="s">
        <v>41</v>
      </c>
      <c r="D112" s="2" t="s">
        <v>40</v>
      </c>
      <c r="K112" s="58"/>
    </row>
    <row r="113" spans="2:11" x14ac:dyDescent="0.25">
      <c r="B113" s="10">
        <f t="shared" si="8"/>
        <v>0</v>
      </c>
      <c r="C113" t="s">
        <v>41</v>
      </c>
      <c r="D113" s="2" t="s">
        <v>11</v>
      </c>
      <c r="K113" s="58"/>
    </row>
    <row r="114" spans="2:11" x14ac:dyDescent="0.25">
      <c r="B114" s="10">
        <f t="shared" si="8"/>
        <v>0</v>
      </c>
      <c r="D114" s="28"/>
    </row>
    <row r="115" spans="2:11" x14ac:dyDescent="0.25">
      <c r="B115" s="10">
        <f>IF('Quote Sheet'!$D$19=Lookup!C115,1,0)</f>
        <v>0</v>
      </c>
      <c r="C115" t="s">
        <v>42</v>
      </c>
      <c r="D115" s="2" t="s">
        <v>43</v>
      </c>
      <c r="K115" s="59">
        <v>13179</v>
      </c>
    </row>
    <row r="116" spans="2:11" x14ac:dyDescent="0.25">
      <c r="B116" s="10">
        <f>B115*2</f>
        <v>0</v>
      </c>
      <c r="C116" t="s">
        <v>42</v>
      </c>
      <c r="D116" s="2" t="s">
        <v>44</v>
      </c>
      <c r="K116" s="58"/>
    </row>
    <row r="117" spans="2:11" x14ac:dyDescent="0.25">
      <c r="B117" s="10">
        <f t="shared" ref="B117:B126" si="9">B116*2</f>
        <v>0</v>
      </c>
      <c r="C117" t="s">
        <v>42</v>
      </c>
      <c r="D117" s="2" t="s">
        <v>413</v>
      </c>
      <c r="K117" s="58"/>
    </row>
    <row r="118" spans="2:11" x14ac:dyDescent="0.25">
      <c r="B118" s="10">
        <f t="shared" si="9"/>
        <v>0</v>
      </c>
      <c r="C118" t="s">
        <v>42</v>
      </c>
      <c r="D118" s="2" t="s">
        <v>4</v>
      </c>
      <c r="K118" s="58"/>
    </row>
    <row r="119" spans="2:11" x14ac:dyDescent="0.25">
      <c r="B119" s="10">
        <f t="shared" si="9"/>
        <v>0</v>
      </c>
      <c r="C119" t="s">
        <v>42</v>
      </c>
      <c r="D119" s="2" t="s">
        <v>5</v>
      </c>
      <c r="K119" s="58"/>
    </row>
    <row r="120" spans="2:11" x14ac:dyDescent="0.25">
      <c r="B120" s="10">
        <f t="shared" si="9"/>
        <v>0</v>
      </c>
      <c r="C120" t="s">
        <v>42</v>
      </c>
      <c r="D120" s="2" t="s">
        <v>24</v>
      </c>
      <c r="K120" s="58"/>
    </row>
    <row r="121" spans="2:11" x14ac:dyDescent="0.25">
      <c r="B121" s="10">
        <f t="shared" si="9"/>
        <v>0</v>
      </c>
      <c r="C121" t="s">
        <v>42</v>
      </c>
      <c r="D121" s="2" t="s">
        <v>15</v>
      </c>
      <c r="K121" s="58"/>
    </row>
    <row r="122" spans="2:11" x14ac:dyDescent="0.25">
      <c r="B122" s="10">
        <f t="shared" si="9"/>
        <v>0</v>
      </c>
      <c r="C122" t="s">
        <v>42</v>
      </c>
      <c r="D122" s="2" t="s">
        <v>39</v>
      </c>
      <c r="K122" s="58"/>
    </row>
    <row r="123" spans="2:11" x14ac:dyDescent="0.25">
      <c r="B123" s="10">
        <f t="shared" si="9"/>
        <v>0</v>
      </c>
      <c r="C123" t="s">
        <v>42</v>
      </c>
      <c r="D123" s="2" t="s">
        <v>9</v>
      </c>
      <c r="K123" s="58"/>
    </row>
    <row r="124" spans="2:11" x14ac:dyDescent="0.25">
      <c r="B124" s="10">
        <f t="shared" si="9"/>
        <v>0</v>
      </c>
      <c r="C124" t="s">
        <v>42</v>
      </c>
      <c r="D124" s="2" t="s">
        <v>40</v>
      </c>
      <c r="K124" s="58"/>
    </row>
    <row r="125" spans="2:11" x14ac:dyDescent="0.25">
      <c r="B125" s="10">
        <f t="shared" si="9"/>
        <v>0</v>
      </c>
      <c r="C125" t="s">
        <v>42</v>
      </c>
      <c r="D125" s="2" t="s">
        <v>11</v>
      </c>
      <c r="K125" s="58"/>
    </row>
    <row r="126" spans="2:11" x14ac:dyDescent="0.25">
      <c r="B126" s="10">
        <f t="shared" si="9"/>
        <v>0</v>
      </c>
      <c r="D126" s="28"/>
    </row>
    <row r="127" spans="2:11" x14ac:dyDescent="0.25">
      <c r="B127" s="10">
        <f>IF('Quote Sheet'!$D$19=Lookup!C127,1,0)</f>
        <v>0</v>
      </c>
      <c r="C127" t="s">
        <v>45</v>
      </c>
      <c r="D127" s="2" t="s">
        <v>46</v>
      </c>
      <c r="K127" s="59">
        <v>14279</v>
      </c>
    </row>
    <row r="128" spans="2:11" x14ac:dyDescent="0.25">
      <c r="B128" s="10">
        <f>B127*2</f>
        <v>0</v>
      </c>
      <c r="C128" t="s">
        <v>45</v>
      </c>
      <c r="D128" s="2" t="s">
        <v>47</v>
      </c>
      <c r="K128" s="58"/>
    </row>
    <row r="129" spans="2:11" x14ac:dyDescent="0.25">
      <c r="B129" s="10">
        <f t="shared" ref="B129:B138" si="10">B128*2</f>
        <v>0</v>
      </c>
      <c r="C129" t="s">
        <v>45</v>
      </c>
      <c r="D129" s="2" t="s">
        <v>413</v>
      </c>
      <c r="K129" s="58"/>
    </row>
    <row r="130" spans="2:11" x14ac:dyDescent="0.25">
      <c r="B130" s="10">
        <f t="shared" si="10"/>
        <v>0</v>
      </c>
      <c r="C130" t="s">
        <v>45</v>
      </c>
      <c r="D130" s="2" t="s">
        <v>4</v>
      </c>
      <c r="K130" s="58"/>
    </row>
    <row r="131" spans="2:11" x14ac:dyDescent="0.25">
      <c r="B131" s="10">
        <f t="shared" si="10"/>
        <v>0</v>
      </c>
      <c r="C131" t="s">
        <v>45</v>
      </c>
      <c r="D131" s="2" t="s">
        <v>29</v>
      </c>
      <c r="K131" s="58"/>
    </row>
    <row r="132" spans="2:11" x14ac:dyDescent="0.25">
      <c r="B132" s="10">
        <f t="shared" si="10"/>
        <v>0</v>
      </c>
      <c r="C132" t="s">
        <v>45</v>
      </c>
      <c r="D132" s="2" t="s">
        <v>24</v>
      </c>
      <c r="K132" s="58"/>
    </row>
    <row r="133" spans="2:11" x14ac:dyDescent="0.25">
      <c r="B133" s="10">
        <f t="shared" si="10"/>
        <v>0</v>
      </c>
      <c r="C133" t="s">
        <v>45</v>
      </c>
      <c r="D133" s="2" t="s">
        <v>15</v>
      </c>
      <c r="K133" s="58"/>
    </row>
    <row r="134" spans="2:11" x14ac:dyDescent="0.25">
      <c r="B134" s="10">
        <f t="shared" si="10"/>
        <v>0</v>
      </c>
      <c r="C134" t="s">
        <v>45</v>
      </c>
      <c r="D134" s="2" t="s">
        <v>39</v>
      </c>
      <c r="K134" s="58"/>
    </row>
    <row r="135" spans="2:11" x14ac:dyDescent="0.25">
      <c r="B135" s="10">
        <f t="shared" si="10"/>
        <v>0</v>
      </c>
      <c r="C135" t="s">
        <v>45</v>
      </c>
      <c r="D135" s="2" t="s">
        <v>9</v>
      </c>
      <c r="K135" s="58"/>
    </row>
    <row r="136" spans="2:11" x14ac:dyDescent="0.25">
      <c r="B136" s="10">
        <f t="shared" si="10"/>
        <v>0</v>
      </c>
      <c r="C136" t="s">
        <v>45</v>
      </c>
      <c r="D136" s="2" t="s">
        <v>40</v>
      </c>
      <c r="K136" s="58"/>
    </row>
    <row r="137" spans="2:11" x14ac:dyDescent="0.25">
      <c r="B137" s="10">
        <f t="shared" si="10"/>
        <v>0</v>
      </c>
      <c r="C137" t="s">
        <v>45</v>
      </c>
      <c r="D137" s="2" t="s">
        <v>11</v>
      </c>
      <c r="K137" s="58"/>
    </row>
    <row r="138" spans="2:11" x14ac:dyDescent="0.25">
      <c r="B138" s="10">
        <f t="shared" si="10"/>
        <v>0</v>
      </c>
      <c r="D138" s="28"/>
    </row>
    <row r="139" spans="2:11" x14ac:dyDescent="0.25">
      <c r="B139" s="10">
        <f>IF('Quote Sheet'!$D$19=Lookup!C139,1,0)</f>
        <v>0</v>
      </c>
      <c r="C139" t="s">
        <v>48</v>
      </c>
      <c r="D139" s="2" t="s">
        <v>49</v>
      </c>
      <c r="K139" s="59">
        <v>19345</v>
      </c>
    </row>
    <row r="140" spans="2:11" x14ac:dyDescent="0.25">
      <c r="B140" s="10">
        <f>B139*2</f>
        <v>0</v>
      </c>
      <c r="C140" t="s">
        <v>48</v>
      </c>
      <c r="D140" s="2" t="s">
        <v>50</v>
      </c>
      <c r="K140" s="58"/>
    </row>
    <row r="141" spans="2:11" x14ac:dyDescent="0.25">
      <c r="B141" s="10">
        <f t="shared" ref="B141:B150" si="11">B140*2</f>
        <v>0</v>
      </c>
      <c r="C141" t="s">
        <v>48</v>
      </c>
      <c r="D141" s="2" t="s">
        <v>413</v>
      </c>
      <c r="K141" s="58"/>
    </row>
    <row r="142" spans="2:11" x14ac:dyDescent="0.25">
      <c r="B142" s="10">
        <f t="shared" si="11"/>
        <v>0</v>
      </c>
      <c r="C142" t="s">
        <v>48</v>
      </c>
      <c r="D142" s="2" t="s">
        <v>4</v>
      </c>
      <c r="K142" s="58"/>
    </row>
    <row r="143" spans="2:11" x14ac:dyDescent="0.25">
      <c r="B143" s="10">
        <f t="shared" si="11"/>
        <v>0</v>
      </c>
      <c r="C143" t="s">
        <v>48</v>
      </c>
      <c r="D143" s="2" t="s">
        <v>29</v>
      </c>
      <c r="K143" s="58"/>
    </row>
    <row r="144" spans="2:11" x14ac:dyDescent="0.25">
      <c r="B144" s="10">
        <f t="shared" si="11"/>
        <v>0</v>
      </c>
      <c r="C144" t="s">
        <v>48</v>
      </c>
      <c r="D144" s="2" t="s">
        <v>24</v>
      </c>
      <c r="K144" s="58"/>
    </row>
    <row r="145" spans="2:11" x14ac:dyDescent="0.25">
      <c r="B145" s="10">
        <f t="shared" si="11"/>
        <v>0</v>
      </c>
      <c r="C145" t="s">
        <v>48</v>
      </c>
      <c r="D145" s="2" t="s">
        <v>15</v>
      </c>
      <c r="K145" s="58"/>
    </row>
    <row r="146" spans="2:11" x14ac:dyDescent="0.25">
      <c r="B146" s="10">
        <f t="shared" si="11"/>
        <v>0</v>
      </c>
      <c r="C146" t="s">
        <v>48</v>
      </c>
      <c r="D146" s="2" t="s">
        <v>39</v>
      </c>
      <c r="K146" s="58"/>
    </row>
    <row r="147" spans="2:11" x14ac:dyDescent="0.25">
      <c r="B147" s="10">
        <f t="shared" si="11"/>
        <v>0</v>
      </c>
      <c r="C147" t="s">
        <v>48</v>
      </c>
      <c r="D147" s="2" t="s">
        <v>9</v>
      </c>
      <c r="K147" s="58"/>
    </row>
    <row r="148" spans="2:11" x14ac:dyDescent="0.25">
      <c r="B148" s="10">
        <f t="shared" si="11"/>
        <v>0</v>
      </c>
      <c r="C148" t="s">
        <v>48</v>
      </c>
      <c r="D148" s="2" t="s">
        <v>51</v>
      </c>
      <c r="K148" s="58"/>
    </row>
    <row r="149" spans="2:11" x14ac:dyDescent="0.25">
      <c r="B149" s="10">
        <f t="shared" si="11"/>
        <v>0</v>
      </c>
      <c r="C149" s="28" t="s">
        <v>48</v>
      </c>
      <c r="D149" s="75" t="s">
        <v>11</v>
      </c>
      <c r="K149" s="58"/>
    </row>
    <row r="150" spans="2:11" x14ac:dyDescent="0.25">
      <c r="B150" s="10">
        <f t="shared" si="11"/>
        <v>0</v>
      </c>
      <c r="D150" s="28"/>
      <c r="K150" s="58"/>
    </row>
    <row r="151" spans="2:11" x14ac:dyDescent="0.25">
      <c r="B151" s="10">
        <f>IF('Quote Sheet'!$D$19=Lookup!C151,1,0)</f>
        <v>0</v>
      </c>
      <c r="C151" t="s">
        <v>52</v>
      </c>
      <c r="D151" s="2" t="s">
        <v>49</v>
      </c>
      <c r="K151" s="59">
        <v>18100</v>
      </c>
    </row>
    <row r="152" spans="2:11" x14ac:dyDescent="0.25">
      <c r="B152" s="10">
        <f>B151*2</f>
        <v>0</v>
      </c>
      <c r="C152" t="s">
        <v>52</v>
      </c>
      <c r="D152" s="2" t="s">
        <v>50</v>
      </c>
      <c r="K152" s="58"/>
    </row>
    <row r="153" spans="2:11" x14ac:dyDescent="0.25">
      <c r="B153" s="10">
        <f>B152*2</f>
        <v>0</v>
      </c>
      <c r="C153" t="s">
        <v>52</v>
      </c>
      <c r="D153" s="2" t="s">
        <v>413</v>
      </c>
      <c r="K153" s="58"/>
    </row>
    <row r="154" spans="2:11" x14ac:dyDescent="0.25">
      <c r="B154" s="10">
        <f>B153*2</f>
        <v>0</v>
      </c>
      <c r="C154" t="s">
        <v>52</v>
      </c>
      <c r="D154" s="2" t="s">
        <v>4</v>
      </c>
      <c r="K154" s="58"/>
    </row>
    <row r="155" spans="2:11" x14ac:dyDescent="0.25">
      <c r="B155" s="10">
        <f t="shared" ref="B155:B162" si="12">B154*2</f>
        <v>0</v>
      </c>
      <c r="C155" t="s">
        <v>52</v>
      </c>
      <c r="D155" s="2" t="s">
        <v>29</v>
      </c>
      <c r="K155" s="58"/>
    </row>
    <row r="156" spans="2:11" x14ac:dyDescent="0.25">
      <c r="B156" s="10">
        <f t="shared" si="12"/>
        <v>0</v>
      </c>
      <c r="C156" t="s">
        <v>52</v>
      </c>
      <c r="D156" s="2" t="s">
        <v>24</v>
      </c>
      <c r="K156" s="58"/>
    </row>
    <row r="157" spans="2:11" x14ac:dyDescent="0.25">
      <c r="B157" s="10">
        <f t="shared" si="12"/>
        <v>0</v>
      </c>
      <c r="C157" t="s">
        <v>52</v>
      </c>
      <c r="D157" s="2" t="s">
        <v>15</v>
      </c>
      <c r="K157" s="58"/>
    </row>
    <row r="158" spans="2:11" x14ac:dyDescent="0.25">
      <c r="B158" s="10">
        <f t="shared" si="12"/>
        <v>0</v>
      </c>
      <c r="C158" t="s">
        <v>52</v>
      </c>
      <c r="D158" s="2" t="s">
        <v>39</v>
      </c>
      <c r="K158" s="58"/>
    </row>
    <row r="159" spans="2:11" x14ac:dyDescent="0.25">
      <c r="B159" s="10">
        <f t="shared" si="12"/>
        <v>0</v>
      </c>
      <c r="C159" t="s">
        <v>52</v>
      </c>
      <c r="D159" s="2" t="s">
        <v>9</v>
      </c>
      <c r="K159" s="58"/>
    </row>
    <row r="160" spans="2:11" x14ac:dyDescent="0.25">
      <c r="B160" s="10">
        <f t="shared" si="12"/>
        <v>0</v>
      </c>
      <c r="C160" t="s">
        <v>52</v>
      </c>
      <c r="D160" s="2" t="s">
        <v>51</v>
      </c>
      <c r="K160" s="58"/>
    </row>
    <row r="161" spans="2:11" x14ac:dyDescent="0.25">
      <c r="B161" s="10">
        <f t="shared" si="12"/>
        <v>0</v>
      </c>
      <c r="C161" t="s">
        <v>52</v>
      </c>
      <c r="D161" s="2" t="s">
        <v>11</v>
      </c>
      <c r="K161" s="58"/>
    </row>
    <row r="162" spans="2:11" x14ac:dyDescent="0.25">
      <c r="B162" s="10">
        <f t="shared" si="12"/>
        <v>0</v>
      </c>
      <c r="D162" s="28"/>
    </row>
    <row r="163" spans="2:11" x14ac:dyDescent="0.25">
      <c r="B163" s="10">
        <f>IF('Quote Sheet'!$D$19=Lookup!C163,1,0)</f>
        <v>0</v>
      </c>
      <c r="C163" t="s">
        <v>53</v>
      </c>
      <c r="D163" s="2" t="s">
        <v>54</v>
      </c>
      <c r="K163" s="59">
        <v>21436</v>
      </c>
    </row>
    <row r="164" spans="2:11" x14ac:dyDescent="0.25">
      <c r="B164" s="10">
        <f>B163*2</f>
        <v>0</v>
      </c>
      <c r="C164" t="s">
        <v>53</v>
      </c>
      <c r="D164" s="2" t="s">
        <v>55</v>
      </c>
      <c r="K164" s="58"/>
    </row>
    <row r="165" spans="2:11" x14ac:dyDescent="0.25">
      <c r="B165" s="10">
        <f t="shared" ref="B165:B174" si="13">B164*2</f>
        <v>0</v>
      </c>
      <c r="C165" t="s">
        <v>53</v>
      </c>
      <c r="D165" s="2" t="s">
        <v>413</v>
      </c>
      <c r="K165" s="58"/>
    </row>
    <row r="166" spans="2:11" x14ac:dyDescent="0.25">
      <c r="B166" s="10">
        <f t="shared" si="13"/>
        <v>0</v>
      </c>
      <c r="C166" t="s">
        <v>53</v>
      </c>
      <c r="D166" s="2" t="s">
        <v>4</v>
      </c>
      <c r="K166" s="58"/>
    </row>
    <row r="167" spans="2:11" x14ac:dyDescent="0.25">
      <c r="B167" s="10">
        <f t="shared" si="13"/>
        <v>0</v>
      </c>
      <c r="C167" t="s">
        <v>53</v>
      </c>
      <c r="D167" s="2" t="s">
        <v>29</v>
      </c>
      <c r="K167" s="58"/>
    </row>
    <row r="168" spans="2:11" x14ac:dyDescent="0.25">
      <c r="B168" s="10">
        <f t="shared" si="13"/>
        <v>0</v>
      </c>
      <c r="C168" t="s">
        <v>53</v>
      </c>
      <c r="D168" s="2" t="s">
        <v>24</v>
      </c>
      <c r="K168" s="58"/>
    </row>
    <row r="169" spans="2:11" x14ac:dyDescent="0.25">
      <c r="B169" s="10">
        <f t="shared" si="13"/>
        <v>0</v>
      </c>
      <c r="C169" t="s">
        <v>53</v>
      </c>
      <c r="D169" s="2" t="s">
        <v>15</v>
      </c>
      <c r="K169" s="58"/>
    </row>
    <row r="170" spans="2:11" x14ac:dyDescent="0.25">
      <c r="B170" s="10">
        <f t="shared" si="13"/>
        <v>0</v>
      </c>
      <c r="C170" t="s">
        <v>53</v>
      </c>
      <c r="D170" s="2" t="s">
        <v>39</v>
      </c>
      <c r="K170" s="58"/>
    </row>
    <row r="171" spans="2:11" x14ac:dyDescent="0.25">
      <c r="B171" s="10">
        <f t="shared" si="13"/>
        <v>0</v>
      </c>
      <c r="C171" t="s">
        <v>53</v>
      </c>
      <c r="D171" s="2" t="s">
        <v>9</v>
      </c>
      <c r="K171" s="58"/>
    </row>
    <row r="172" spans="2:11" x14ac:dyDescent="0.25">
      <c r="B172" s="10">
        <f t="shared" si="13"/>
        <v>0</v>
      </c>
      <c r="C172" t="s">
        <v>53</v>
      </c>
      <c r="D172" s="2" t="s">
        <v>51</v>
      </c>
      <c r="K172" s="58"/>
    </row>
    <row r="173" spans="2:11" x14ac:dyDescent="0.25">
      <c r="B173" s="10">
        <f t="shared" si="13"/>
        <v>0</v>
      </c>
      <c r="C173" t="s">
        <v>53</v>
      </c>
      <c r="D173" s="2" t="s">
        <v>11</v>
      </c>
      <c r="K173" s="58"/>
    </row>
    <row r="174" spans="2:11" x14ac:dyDescent="0.25">
      <c r="B174" s="10">
        <f t="shared" si="13"/>
        <v>0</v>
      </c>
      <c r="D174" s="28"/>
    </row>
    <row r="175" spans="2:11" x14ac:dyDescent="0.25">
      <c r="B175" s="10">
        <f>IF('Quote Sheet'!$D$19=Lookup!C175,1,0)</f>
        <v>0</v>
      </c>
      <c r="C175" t="s">
        <v>56</v>
      </c>
      <c r="D175" s="2" t="s">
        <v>57</v>
      </c>
      <c r="K175" s="59">
        <v>26167</v>
      </c>
    </row>
    <row r="176" spans="2:11" x14ac:dyDescent="0.25">
      <c r="B176" s="10">
        <f>B175*2</f>
        <v>0</v>
      </c>
      <c r="C176" t="s">
        <v>56</v>
      </c>
      <c r="D176" s="2" t="s">
        <v>58</v>
      </c>
      <c r="K176" s="58"/>
    </row>
    <row r="177" spans="2:53" x14ac:dyDescent="0.25">
      <c r="B177" s="10">
        <f t="shared" ref="B177:B183" si="14">B176*2</f>
        <v>0</v>
      </c>
      <c r="C177" t="s">
        <v>56</v>
      </c>
      <c r="D177" s="2" t="s">
        <v>413</v>
      </c>
      <c r="K177" s="58"/>
    </row>
    <row r="178" spans="2:53" x14ac:dyDescent="0.25">
      <c r="B178" s="10">
        <f t="shared" si="14"/>
        <v>0</v>
      </c>
      <c r="C178" t="s">
        <v>56</v>
      </c>
      <c r="D178" s="2" t="s">
        <v>4</v>
      </c>
      <c r="K178" s="58"/>
    </row>
    <row r="179" spans="2:53" x14ac:dyDescent="0.25">
      <c r="B179" s="10">
        <f t="shared" si="14"/>
        <v>0</v>
      </c>
      <c r="C179" t="s">
        <v>56</v>
      </c>
      <c r="D179" s="2" t="s">
        <v>29</v>
      </c>
      <c r="K179" s="58"/>
    </row>
    <row r="180" spans="2:53" x14ac:dyDescent="0.25">
      <c r="B180" s="10">
        <f t="shared" si="14"/>
        <v>0</v>
      </c>
      <c r="C180" t="s">
        <v>56</v>
      </c>
      <c r="D180" s="2" t="s">
        <v>24</v>
      </c>
      <c r="K180" s="58"/>
    </row>
    <row r="181" spans="2:53" x14ac:dyDescent="0.25">
      <c r="B181" s="10">
        <f t="shared" si="14"/>
        <v>0</v>
      </c>
      <c r="C181" t="s">
        <v>56</v>
      </c>
      <c r="D181" s="2" t="s">
        <v>15</v>
      </c>
      <c r="K181" s="58"/>
    </row>
    <row r="182" spans="2:53" x14ac:dyDescent="0.25">
      <c r="B182" s="10">
        <f t="shared" si="14"/>
        <v>0</v>
      </c>
      <c r="C182" t="s">
        <v>56</v>
      </c>
      <c r="D182" s="2" t="s">
        <v>39</v>
      </c>
      <c r="K182" s="58"/>
    </row>
    <row r="183" spans="2:53" x14ac:dyDescent="0.25">
      <c r="B183" s="10">
        <f t="shared" si="14"/>
        <v>0</v>
      </c>
      <c r="C183" t="s">
        <v>56</v>
      </c>
      <c r="D183" s="2" t="s">
        <v>9</v>
      </c>
      <c r="K183" s="58"/>
    </row>
    <row r="184" spans="2:53" x14ac:dyDescent="0.25">
      <c r="B184" s="10">
        <f>B183*2</f>
        <v>0</v>
      </c>
      <c r="C184" t="s">
        <v>56</v>
      </c>
      <c r="D184" s="2" t="s">
        <v>40</v>
      </c>
      <c r="K184" s="58"/>
    </row>
    <row r="185" spans="2:53" s="74" customFormat="1" x14ac:dyDescent="0.25">
      <c r="B185" s="10">
        <f t="shared" ref="B185:B186" si="15">B184*2</f>
        <v>0</v>
      </c>
      <c r="D185" s="75" t="s">
        <v>11</v>
      </c>
      <c r="T185" s="77"/>
      <c r="AB185" s="76"/>
      <c r="AJ185" s="76"/>
      <c r="AS185" s="76"/>
      <c r="BA185" s="76"/>
    </row>
    <row r="186" spans="2:53" x14ac:dyDescent="0.25">
      <c r="B186" s="10">
        <f t="shared" si="15"/>
        <v>0</v>
      </c>
      <c r="D186" s="28"/>
    </row>
    <row r="187" spans="2:53" x14ac:dyDescent="0.25">
      <c r="B187" s="10">
        <f>IF('Quote Sheet'!$D$19=Lookup!C187,1,0)</f>
        <v>0</v>
      </c>
      <c r="C187" t="s">
        <v>59</v>
      </c>
      <c r="D187" s="2" t="s">
        <v>60</v>
      </c>
      <c r="K187" s="59">
        <v>26304</v>
      </c>
    </row>
    <row r="188" spans="2:53" x14ac:dyDescent="0.25">
      <c r="B188" s="10">
        <f>B187*2</f>
        <v>0</v>
      </c>
      <c r="C188" t="s">
        <v>59</v>
      </c>
      <c r="D188" s="2" t="s">
        <v>61</v>
      </c>
      <c r="K188" s="58"/>
    </row>
    <row r="189" spans="2:53" x14ac:dyDescent="0.25">
      <c r="B189" s="10">
        <f t="shared" ref="B189:B198" si="16">B188*2</f>
        <v>0</v>
      </c>
      <c r="C189" t="s">
        <v>59</v>
      </c>
      <c r="D189" s="2" t="s">
        <v>413</v>
      </c>
      <c r="K189" s="58"/>
    </row>
    <row r="190" spans="2:53" x14ac:dyDescent="0.25">
      <c r="B190" s="10">
        <f t="shared" si="16"/>
        <v>0</v>
      </c>
      <c r="C190" t="s">
        <v>59</v>
      </c>
      <c r="D190" s="2" t="s">
        <v>4</v>
      </c>
      <c r="K190" s="58"/>
    </row>
    <row r="191" spans="2:53" x14ac:dyDescent="0.25">
      <c r="B191" s="10">
        <f t="shared" si="16"/>
        <v>0</v>
      </c>
      <c r="C191" t="s">
        <v>59</v>
      </c>
      <c r="D191" s="2" t="s">
        <v>29</v>
      </c>
      <c r="K191" s="58"/>
    </row>
    <row r="192" spans="2:53" x14ac:dyDescent="0.25">
      <c r="B192" s="10">
        <f t="shared" si="16"/>
        <v>0</v>
      </c>
      <c r="C192" t="s">
        <v>59</v>
      </c>
      <c r="D192" s="2" t="s">
        <v>24</v>
      </c>
      <c r="K192" s="58"/>
    </row>
    <row r="193" spans="2:11" x14ac:dyDescent="0.25">
      <c r="B193" s="10">
        <f t="shared" si="16"/>
        <v>0</v>
      </c>
      <c r="C193" t="s">
        <v>59</v>
      </c>
      <c r="D193" s="2" t="s">
        <v>15</v>
      </c>
      <c r="K193" s="58"/>
    </row>
    <row r="194" spans="2:11" x14ac:dyDescent="0.25">
      <c r="B194" s="10">
        <f t="shared" si="16"/>
        <v>0</v>
      </c>
      <c r="C194" t="s">
        <v>59</v>
      </c>
      <c r="D194" s="2" t="s">
        <v>39</v>
      </c>
      <c r="K194" s="58"/>
    </row>
    <row r="195" spans="2:11" x14ac:dyDescent="0.25">
      <c r="B195" s="10">
        <f t="shared" si="16"/>
        <v>0</v>
      </c>
      <c r="C195" t="s">
        <v>59</v>
      </c>
      <c r="D195" s="2" t="s">
        <v>9</v>
      </c>
      <c r="K195" s="58"/>
    </row>
    <row r="196" spans="2:11" x14ac:dyDescent="0.25">
      <c r="B196" s="10">
        <f t="shared" si="16"/>
        <v>0</v>
      </c>
      <c r="C196" t="s">
        <v>59</v>
      </c>
      <c r="D196" s="2" t="s">
        <v>40</v>
      </c>
      <c r="K196" s="58"/>
    </row>
    <row r="197" spans="2:11" x14ac:dyDescent="0.25">
      <c r="B197" s="10">
        <f t="shared" si="16"/>
        <v>0</v>
      </c>
      <c r="C197" t="s">
        <v>59</v>
      </c>
      <c r="D197" s="2" t="s">
        <v>11</v>
      </c>
      <c r="K197" s="58"/>
    </row>
    <row r="198" spans="2:11" x14ac:dyDescent="0.25">
      <c r="B198" s="10">
        <f t="shared" si="16"/>
        <v>0</v>
      </c>
      <c r="D198" s="28"/>
    </row>
    <row r="199" spans="2:11" x14ac:dyDescent="0.25">
      <c r="B199" s="10">
        <f>IF('Quote Sheet'!$D$19=Lookup!C199,1,0)</f>
        <v>0</v>
      </c>
      <c r="C199" t="s">
        <v>63</v>
      </c>
      <c r="D199" s="2" t="s">
        <v>64</v>
      </c>
      <c r="K199" s="59">
        <v>34504</v>
      </c>
    </row>
    <row r="200" spans="2:11" x14ac:dyDescent="0.25">
      <c r="B200" s="10">
        <f>B199*2</f>
        <v>0</v>
      </c>
      <c r="C200" t="s">
        <v>63</v>
      </c>
      <c r="D200" s="2" t="s">
        <v>65</v>
      </c>
      <c r="K200" s="58"/>
    </row>
    <row r="201" spans="2:11" x14ac:dyDescent="0.25">
      <c r="B201" s="10">
        <f t="shared" ref="B201:B210" si="17">B200*2</f>
        <v>0</v>
      </c>
      <c r="C201" t="s">
        <v>63</v>
      </c>
      <c r="D201" s="2" t="s">
        <v>413</v>
      </c>
      <c r="K201" s="58"/>
    </row>
    <row r="202" spans="2:11" x14ac:dyDescent="0.25">
      <c r="B202" s="10">
        <f t="shared" si="17"/>
        <v>0</v>
      </c>
      <c r="C202" t="s">
        <v>63</v>
      </c>
      <c r="D202" s="2" t="s">
        <v>4</v>
      </c>
      <c r="K202" s="58"/>
    </row>
    <row r="203" spans="2:11" x14ac:dyDescent="0.25">
      <c r="B203" s="10">
        <f t="shared" si="17"/>
        <v>0</v>
      </c>
      <c r="C203" t="s">
        <v>63</v>
      </c>
      <c r="D203" s="2" t="s">
        <v>29</v>
      </c>
      <c r="K203" s="58"/>
    </row>
    <row r="204" spans="2:11" x14ac:dyDescent="0.25">
      <c r="B204" s="10">
        <f t="shared" si="17"/>
        <v>0</v>
      </c>
      <c r="C204" t="s">
        <v>63</v>
      </c>
      <c r="D204" s="2" t="s">
        <v>24</v>
      </c>
      <c r="K204" s="58"/>
    </row>
    <row r="205" spans="2:11" x14ac:dyDescent="0.25">
      <c r="B205" s="10">
        <f t="shared" si="17"/>
        <v>0</v>
      </c>
      <c r="C205" t="s">
        <v>63</v>
      </c>
      <c r="D205" s="2" t="s">
        <v>15</v>
      </c>
      <c r="K205" s="58"/>
    </row>
    <row r="206" spans="2:11" x14ac:dyDescent="0.25">
      <c r="B206" s="10">
        <f t="shared" si="17"/>
        <v>0</v>
      </c>
      <c r="C206" t="s">
        <v>63</v>
      </c>
      <c r="D206" s="2" t="s">
        <v>39</v>
      </c>
      <c r="K206" s="58"/>
    </row>
    <row r="207" spans="2:11" x14ac:dyDescent="0.25">
      <c r="B207" s="10">
        <f t="shared" si="17"/>
        <v>0</v>
      </c>
      <c r="C207" t="s">
        <v>63</v>
      </c>
      <c r="D207" s="2" t="s">
        <v>9</v>
      </c>
      <c r="K207" s="58"/>
    </row>
    <row r="208" spans="2:11" x14ac:dyDescent="0.25">
      <c r="B208" s="10">
        <f t="shared" si="17"/>
        <v>0</v>
      </c>
      <c r="C208" t="s">
        <v>63</v>
      </c>
      <c r="D208" s="2" t="s">
        <v>40</v>
      </c>
      <c r="K208" s="58"/>
    </row>
    <row r="209" spans="2:11" x14ac:dyDescent="0.25">
      <c r="B209" s="10">
        <f t="shared" si="17"/>
        <v>0</v>
      </c>
      <c r="C209" t="s">
        <v>63</v>
      </c>
      <c r="D209" s="2" t="s">
        <v>11</v>
      </c>
      <c r="K209" s="58"/>
    </row>
    <row r="210" spans="2:11" x14ac:dyDescent="0.25">
      <c r="B210" s="10">
        <f t="shared" si="17"/>
        <v>0</v>
      </c>
      <c r="D210" s="28"/>
    </row>
    <row r="211" spans="2:11" x14ac:dyDescent="0.25">
      <c r="B211" s="10">
        <f>IF('Quote Sheet'!$D$19=Lookup!C211,1,0)</f>
        <v>0</v>
      </c>
      <c r="C211" t="s">
        <v>62</v>
      </c>
      <c r="D211" s="2" t="s">
        <v>64</v>
      </c>
      <c r="K211" s="59">
        <v>31729</v>
      </c>
    </row>
    <row r="212" spans="2:11" x14ac:dyDescent="0.25">
      <c r="B212" s="10">
        <f>B211*2</f>
        <v>0</v>
      </c>
      <c r="C212" t="s">
        <v>62</v>
      </c>
      <c r="D212" s="2" t="s">
        <v>65</v>
      </c>
      <c r="K212" s="58"/>
    </row>
    <row r="213" spans="2:11" x14ac:dyDescent="0.25">
      <c r="B213" s="10">
        <f t="shared" ref="B213:B222" si="18">B212*2</f>
        <v>0</v>
      </c>
      <c r="C213" t="s">
        <v>62</v>
      </c>
      <c r="D213" s="2" t="s">
        <v>413</v>
      </c>
      <c r="K213" s="58"/>
    </row>
    <row r="214" spans="2:11" x14ac:dyDescent="0.25">
      <c r="B214" s="10">
        <f t="shared" si="18"/>
        <v>0</v>
      </c>
      <c r="C214" t="s">
        <v>62</v>
      </c>
      <c r="D214" s="2" t="s">
        <v>4</v>
      </c>
      <c r="K214" s="58"/>
    </row>
    <row r="215" spans="2:11" x14ac:dyDescent="0.25">
      <c r="B215" s="10">
        <f t="shared" si="18"/>
        <v>0</v>
      </c>
      <c r="C215" t="s">
        <v>62</v>
      </c>
      <c r="D215" s="2" t="s">
        <v>29</v>
      </c>
      <c r="K215" s="58"/>
    </row>
    <row r="216" spans="2:11" x14ac:dyDescent="0.25">
      <c r="B216" s="10">
        <f t="shared" si="18"/>
        <v>0</v>
      </c>
      <c r="C216" t="s">
        <v>62</v>
      </c>
      <c r="D216" s="2" t="s">
        <v>24</v>
      </c>
      <c r="K216" s="58"/>
    </row>
    <row r="217" spans="2:11" x14ac:dyDescent="0.25">
      <c r="B217" s="10">
        <f t="shared" si="18"/>
        <v>0</v>
      </c>
      <c r="C217" t="s">
        <v>62</v>
      </c>
      <c r="D217" s="2" t="s">
        <v>15</v>
      </c>
      <c r="K217" s="58"/>
    </row>
    <row r="218" spans="2:11" x14ac:dyDescent="0.25">
      <c r="B218" s="10">
        <f t="shared" si="18"/>
        <v>0</v>
      </c>
      <c r="C218" t="s">
        <v>62</v>
      </c>
      <c r="D218" s="2" t="s">
        <v>39</v>
      </c>
      <c r="K218" s="58"/>
    </row>
    <row r="219" spans="2:11" x14ac:dyDescent="0.25">
      <c r="B219" s="10">
        <f t="shared" si="18"/>
        <v>0</v>
      </c>
      <c r="C219" t="s">
        <v>62</v>
      </c>
      <c r="D219" s="2" t="s">
        <v>9</v>
      </c>
      <c r="K219" s="58"/>
    </row>
    <row r="220" spans="2:11" x14ac:dyDescent="0.25">
      <c r="B220" s="10">
        <f t="shared" si="18"/>
        <v>0</v>
      </c>
      <c r="C220" t="s">
        <v>62</v>
      </c>
      <c r="D220" s="2" t="s">
        <v>40</v>
      </c>
      <c r="K220" s="58"/>
    </row>
    <row r="221" spans="2:11" x14ac:dyDescent="0.25">
      <c r="B221" s="10">
        <f t="shared" si="18"/>
        <v>0</v>
      </c>
      <c r="C221" t="s">
        <v>62</v>
      </c>
      <c r="D221" s="2" t="s">
        <v>11</v>
      </c>
      <c r="K221" s="58"/>
    </row>
    <row r="222" spans="2:11" x14ac:dyDescent="0.25">
      <c r="B222" s="10">
        <f t="shared" si="18"/>
        <v>0</v>
      </c>
      <c r="D222" s="28"/>
    </row>
    <row r="223" spans="2:11" x14ac:dyDescent="0.25">
      <c r="B223" s="10">
        <f>IF('Quote Sheet'!$D$19=Lookup!C223,1,0)</f>
        <v>0</v>
      </c>
      <c r="C223" t="s">
        <v>66</v>
      </c>
      <c r="D223" s="2" t="s">
        <v>67</v>
      </c>
      <c r="K223" s="59">
        <v>35009</v>
      </c>
    </row>
    <row r="224" spans="2:11" x14ac:dyDescent="0.25">
      <c r="B224" s="10">
        <f>B223*2</f>
        <v>0</v>
      </c>
      <c r="C224" t="s">
        <v>66</v>
      </c>
      <c r="D224" s="2" t="s">
        <v>68</v>
      </c>
      <c r="K224" s="58"/>
    </row>
    <row r="225" spans="2:11" x14ac:dyDescent="0.25">
      <c r="B225" s="10">
        <f t="shared" ref="B225:B234" si="19">B224*2</f>
        <v>0</v>
      </c>
      <c r="C225" t="s">
        <v>66</v>
      </c>
      <c r="D225" s="2" t="s">
        <v>413</v>
      </c>
      <c r="K225" s="58"/>
    </row>
    <row r="226" spans="2:11" x14ac:dyDescent="0.25">
      <c r="B226" s="10">
        <f t="shared" si="19"/>
        <v>0</v>
      </c>
      <c r="C226" t="s">
        <v>66</v>
      </c>
      <c r="D226" s="2" t="s">
        <v>4</v>
      </c>
      <c r="K226" s="58"/>
    </row>
    <row r="227" spans="2:11" x14ac:dyDescent="0.25">
      <c r="B227" s="10">
        <f t="shared" si="19"/>
        <v>0</v>
      </c>
      <c r="C227" t="s">
        <v>66</v>
      </c>
      <c r="D227" s="2" t="s">
        <v>29</v>
      </c>
      <c r="K227" s="58"/>
    </row>
    <row r="228" spans="2:11" x14ac:dyDescent="0.25">
      <c r="B228" s="10">
        <f t="shared" si="19"/>
        <v>0</v>
      </c>
      <c r="C228" t="s">
        <v>66</v>
      </c>
      <c r="D228" s="2" t="s">
        <v>24</v>
      </c>
      <c r="K228" s="58"/>
    </row>
    <row r="229" spans="2:11" x14ac:dyDescent="0.25">
      <c r="B229" s="10">
        <f t="shared" si="19"/>
        <v>0</v>
      </c>
      <c r="C229" t="s">
        <v>66</v>
      </c>
      <c r="D229" s="2" t="s">
        <v>15</v>
      </c>
      <c r="K229" s="58"/>
    </row>
    <row r="230" spans="2:11" x14ac:dyDescent="0.25">
      <c r="B230" s="10">
        <f t="shared" si="19"/>
        <v>0</v>
      </c>
      <c r="C230" t="s">
        <v>66</v>
      </c>
      <c r="D230" s="2" t="s">
        <v>39</v>
      </c>
      <c r="K230" s="58"/>
    </row>
    <row r="231" spans="2:11" x14ac:dyDescent="0.25">
      <c r="B231" s="10">
        <f t="shared" si="19"/>
        <v>0</v>
      </c>
      <c r="C231" t="s">
        <v>66</v>
      </c>
      <c r="D231" s="2" t="s">
        <v>9</v>
      </c>
      <c r="K231" s="58"/>
    </row>
    <row r="232" spans="2:11" x14ac:dyDescent="0.25">
      <c r="B232" s="10">
        <f t="shared" si="19"/>
        <v>0</v>
      </c>
      <c r="C232" t="s">
        <v>66</v>
      </c>
      <c r="D232" s="2" t="s">
        <v>40</v>
      </c>
      <c r="K232" s="58"/>
    </row>
    <row r="233" spans="2:11" x14ac:dyDescent="0.25">
      <c r="B233" s="10">
        <f t="shared" si="19"/>
        <v>0</v>
      </c>
      <c r="C233" t="s">
        <v>66</v>
      </c>
      <c r="D233" s="2" t="s">
        <v>11</v>
      </c>
      <c r="K233" s="58"/>
    </row>
    <row r="234" spans="2:11" x14ac:dyDescent="0.25">
      <c r="B234" s="10">
        <f t="shared" si="19"/>
        <v>0</v>
      </c>
      <c r="D234" s="28"/>
    </row>
    <row r="235" spans="2:11" x14ac:dyDescent="0.25">
      <c r="B235" s="10">
        <f>IF('Quote Sheet'!$D$19=Lookup!C235,1,0)</f>
        <v>0</v>
      </c>
      <c r="C235" t="s">
        <v>69</v>
      </c>
      <c r="D235" s="2" t="s">
        <v>70</v>
      </c>
      <c r="K235" s="59">
        <v>39296</v>
      </c>
    </row>
    <row r="236" spans="2:11" x14ac:dyDescent="0.25">
      <c r="B236" s="10">
        <f>B235*2</f>
        <v>0</v>
      </c>
      <c r="C236" t="s">
        <v>69</v>
      </c>
      <c r="D236" s="2" t="s">
        <v>71</v>
      </c>
      <c r="K236" s="58"/>
    </row>
    <row r="237" spans="2:11" x14ac:dyDescent="0.25">
      <c r="B237" s="10">
        <f t="shared" ref="B237:B246" si="20">B236*2</f>
        <v>0</v>
      </c>
      <c r="C237" t="s">
        <v>69</v>
      </c>
      <c r="D237" s="2" t="s">
        <v>413</v>
      </c>
      <c r="K237" s="58"/>
    </row>
    <row r="238" spans="2:11" x14ac:dyDescent="0.25">
      <c r="B238" s="10">
        <f t="shared" si="20"/>
        <v>0</v>
      </c>
      <c r="C238" t="s">
        <v>69</v>
      </c>
      <c r="D238" s="2" t="s">
        <v>4</v>
      </c>
      <c r="K238" s="58"/>
    </row>
    <row r="239" spans="2:11" x14ac:dyDescent="0.25">
      <c r="B239" s="10">
        <f t="shared" si="20"/>
        <v>0</v>
      </c>
      <c r="C239" t="s">
        <v>69</v>
      </c>
      <c r="D239" s="2" t="s">
        <v>29</v>
      </c>
      <c r="K239" s="58"/>
    </row>
    <row r="240" spans="2:11" x14ac:dyDescent="0.25">
      <c r="B240" s="10">
        <f t="shared" si="20"/>
        <v>0</v>
      </c>
      <c r="C240" t="s">
        <v>69</v>
      </c>
      <c r="D240" s="2" t="s">
        <v>24</v>
      </c>
      <c r="K240" s="58"/>
    </row>
    <row r="241" spans="2:53" x14ac:dyDescent="0.25">
      <c r="B241" s="10">
        <f t="shared" si="20"/>
        <v>0</v>
      </c>
      <c r="C241" t="s">
        <v>69</v>
      </c>
      <c r="D241" s="2" t="s">
        <v>15</v>
      </c>
      <c r="K241" s="58"/>
    </row>
    <row r="242" spans="2:53" x14ac:dyDescent="0.25">
      <c r="B242" s="10">
        <f t="shared" si="20"/>
        <v>0</v>
      </c>
      <c r="C242" t="s">
        <v>69</v>
      </c>
      <c r="D242" s="2" t="s">
        <v>39</v>
      </c>
      <c r="K242" s="58"/>
    </row>
    <row r="243" spans="2:53" x14ac:dyDescent="0.25">
      <c r="B243" s="10">
        <f t="shared" si="20"/>
        <v>0</v>
      </c>
      <c r="C243" t="s">
        <v>69</v>
      </c>
      <c r="D243" s="2" t="s">
        <v>9</v>
      </c>
      <c r="K243" s="58"/>
    </row>
    <row r="244" spans="2:53" x14ac:dyDescent="0.25">
      <c r="B244" s="10">
        <f t="shared" si="20"/>
        <v>0</v>
      </c>
      <c r="C244" t="s">
        <v>69</v>
      </c>
      <c r="D244" s="2" t="s">
        <v>40</v>
      </c>
      <c r="K244" s="58"/>
    </row>
    <row r="245" spans="2:53" s="74" customFormat="1" x14ac:dyDescent="0.25">
      <c r="B245" s="10">
        <f t="shared" si="20"/>
        <v>0</v>
      </c>
      <c r="C245" s="74" t="s">
        <v>69</v>
      </c>
      <c r="D245" s="75" t="s">
        <v>11</v>
      </c>
      <c r="T245" s="77"/>
      <c r="AB245" s="76"/>
      <c r="AJ245" s="76"/>
      <c r="AS245" s="76"/>
      <c r="BA245" s="76"/>
    </row>
    <row r="246" spans="2:53" x14ac:dyDescent="0.25">
      <c r="B246" s="10">
        <f t="shared" si="20"/>
        <v>0</v>
      </c>
      <c r="D246" s="28"/>
    </row>
    <row r="247" spans="2:53" x14ac:dyDescent="0.25">
      <c r="B247" s="10">
        <f>IF('Quote Sheet'!$D$19=Lookup!C247,1,0)</f>
        <v>0</v>
      </c>
      <c r="C247" t="s">
        <v>72</v>
      </c>
      <c r="D247" s="2" t="s">
        <v>73</v>
      </c>
      <c r="K247" s="59">
        <v>40462</v>
      </c>
    </row>
    <row r="248" spans="2:53" x14ac:dyDescent="0.25">
      <c r="B248" s="10">
        <f>B247*2</f>
        <v>0</v>
      </c>
      <c r="C248" t="s">
        <v>72</v>
      </c>
      <c r="D248" s="2" t="s">
        <v>74</v>
      </c>
      <c r="K248" s="58"/>
    </row>
    <row r="249" spans="2:53" x14ac:dyDescent="0.25">
      <c r="B249" s="10">
        <f t="shared" ref="B249:B258" si="21">B248*2</f>
        <v>0</v>
      </c>
      <c r="C249" t="s">
        <v>72</v>
      </c>
      <c r="D249" s="2" t="s">
        <v>413</v>
      </c>
      <c r="K249" s="58"/>
    </row>
    <row r="250" spans="2:53" x14ac:dyDescent="0.25">
      <c r="B250" s="10">
        <f t="shared" si="21"/>
        <v>0</v>
      </c>
      <c r="C250" t="s">
        <v>72</v>
      </c>
      <c r="D250" s="2" t="s">
        <v>4</v>
      </c>
      <c r="K250" s="58"/>
    </row>
    <row r="251" spans="2:53" x14ac:dyDescent="0.25">
      <c r="B251" s="10">
        <f t="shared" si="21"/>
        <v>0</v>
      </c>
      <c r="C251" t="s">
        <v>72</v>
      </c>
      <c r="D251" s="2" t="s">
        <v>29</v>
      </c>
      <c r="K251" s="58"/>
    </row>
    <row r="252" spans="2:53" x14ac:dyDescent="0.25">
      <c r="B252" s="10">
        <f t="shared" si="21"/>
        <v>0</v>
      </c>
      <c r="C252" t="s">
        <v>72</v>
      </c>
      <c r="D252" s="2" t="s">
        <v>24</v>
      </c>
      <c r="K252" s="58"/>
    </row>
    <row r="253" spans="2:53" x14ac:dyDescent="0.25">
      <c r="B253" s="10">
        <f t="shared" si="21"/>
        <v>0</v>
      </c>
      <c r="C253" t="s">
        <v>72</v>
      </c>
      <c r="D253" s="2" t="s">
        <v>75</v>
      </c>
      <c r="K253" s="58"/>
    </row>
    <row r="254" spans="2:53" x14ac:dyDescent="0.25">
      <c r="B254" s="10">
        <f t="shared" si="21"/>
        <v>0</v>
      </c>
      <c r="C254" t="s">
        <v>72</v>
      </c>
      <c r="D254" s="2" t="s">
        <v>76</v>
      </c>
      <c r="K254" s="58"/>
    </row>
    <row r="255" spans="2:53" x14ac:dyDescent="0.25">
      <c r="B255" s="10">
        <f t="shared" si="21"/>
        <v>0</v>
      </c>
      <c r="C255" t="s">
        <v>72</v>
      </c>
      <c r="D255" s="2" t="s">
        <v>9</v>
      </c>
      <c r="K255" s="58"/>
    </row>
    <row r="256" spans="2:53" x14ac:dyDescent="0.25">
      <c r="B256" s="10">
        <f t="shared" si="21"/>
        <v>0</v>
      </c>
      <c r="C256" t="s">
        <v>72</v>
      </c>
      <c r="D256" s="2" t="s">
        <v>51</v>
      </c>
      <c r="K256" s="58"/>
    </row>
    <row r="257" spans="2:11" x14ac:dyDescent="0.25">
      <c r="B257" s="10">
        <f t="shared" si="21"/>
        <v>0</v>
      </c>
      <c r="C257" t="s">
        <v>72</v>
      </c>
      <c r="D257" s="2" t="s">
        <v>11</v>
      </c>
      <c r="K257" s="58"/>
    </row>
    <row r="258" spans="2:11" x14ac:dyDescent="0.25">
      <c r="B258" s="10">
        <f t="shared" si="21"/>
        <v>0</v>
      </c>
      <c r="D258" s="28"/>
    </row>
    <row r="259" spans="2:11" x14ac:dyDescent="0.25">
      <c r="B259" s="10">
        <f>IF('Quote Sheet'!$D$19=Lookup!C259,1,0)</f>
        <v>0</v>
      </c>
      <c r="C259" t="s">
        <v>78</v>
      </c>
      <c r="D259" s="2" t="s">
        <v>79</v>
      </c>
      <c r="K259" s="59">
        <v>49060</v>
      </c>
    </row>
    <row r="260" spans="2:11" x14ac:dyDescent="0.25">
      <c r="B260" s="10">
        <f>B259*2</f>
        <v>0</v>
      </c>
      <c r="C260" t="s">
        <v>78</v>
      </c>
      <c r="D260" s="2" t="s">
        <v>80</v>
      </c>
      <c r="K260" s="58"/>
    </row>
    <row r="261" spans="2:11" x14ac:dyDescent="0.25">
      <c r="B261" s="10">
        <f t="shared" ref="B261:B270" si="22">B260*2</f>
        <v>0</v>
      </c>
      <c r="C261" t="s">
        <v>78</v>
      </c>
      <c r="D261" s="2" t="s">
        <v>413</v>
      </c>
      <c r="K261" s="58"/>
    </row>
    <row r="262" spans="2:11" x14ac:dyDescent="0.25">
      <c r="B262" s="10">
        <f t="shared" si="22"/>
        <v>0</v>
      </c>
      <c r="C262" t="s">
        <v>78</v>
      </c>
      <c r="D262" s="2" t="s">
        <v>4</v>
      </c>
      <c r="K262" s="58"/>
    </row>
    <row r="263" spans="2:11" x14ac:dyDescent="0.25">
      <c r="B263" s="10">
        <f t="shared" si="22"/>
        <v>0</v>
      </c>
      <c r="C263" t="s">
        <v>78</v>
      </c>
      <c r="D263" s="2" t="s">
        <v>29</v>
      </c>
      <c r="K263" s="58"/>
    </row>
    <row r="264" spans="2:11" x14ac:dyDescent="0.25">
      <c r="B264" s="10">
        <f t="shared" si="22"/>
        <v>0</v>
      </c>
      <c r="C264" t="s">
        <v>78</v>
      </c>
      <c r="D264" s="2" t="s">
        <v>24</v>
      </c>
      <c r="K264" s="58"/>
    </row>
    <row r="265" spans="2:11" x14ac:dyDescent="0.25">
      <c r="B265" s="10">
        <f t="shared" si="22"/>
        <v>0</v>
      </c>
      <c r="C265" t="s">
        <v>78</v>
      </c>
      <c r="D265" s="2" t="s">
        <v>75</v>
      </c>
      <c r="K265" s="58"/>
    </row>
    <row r="266" spans="2:11" x14ac:dyDescent="0.25">
      <c r="B266" s="10">
        <f t="shared" si="22"/>
        <v>0</v>
      </c>
      <c r="C266" t="s">
        <v>78</v>
      </c>
      <c r="D266" s="2" t="s">
        <v>76</v>
      </c>
      <c r="K266" s="58"/>
    </row>
    <row r="267" spans="2:11" x14ac:dyDescent="0.25">
      <c r="B267" s="10">
        <f t="shared" si="22"/>
        <v>0</v>
      </c>
      <c r="C267" t="s">
        <v>78</v>
      </c>
      <c r="D267" s="2" t="s">
        <v>9</v>
      </c>
      <c r="K267" s="58"/>
    </row>
    <row r="268" spans="2:11" x14ac:dyDescent="0.25">
      <c r="B268" s="10">
        <f t="shared" si="22"/>
        <v>0</v>
      </c>
      <c r="C268" t="s">
        <v>78</v>
      </c>
      <c r="D268" s="2" t="s">
        <v>51</v>
      </c>
      <c r="K268" s="58"/>
    </row>
    <row r="269" spans="2:11" x14ac:dyDescent="0.25">
      <c r="B269" s="10">
        <f t="shared" si="22"/>
        <v>0</v>
      </c>
      <c r="C269" t="s">
        <v>78</v>
      </c>
      <c r="D269" s="2" t="s">
        <v>11</v>
      </c>
      <c r="K269" s="58"/>
    </row>
    <row r="270" spans="2:11" x14ac:dyDescent="0.25">
      <c r="B270" s="10">
        <f t="shared" si="22"/>
        <v>0</v>
      </c>
      <c r="D270" s="28"/>
    </row>
    <row r="271" spans="2:11" x14ac:dyDescent="0.25">
      <c r="B271" s="10">
        <f>IF('Quote Sheet'!$D$19=Lookup!C271,1,0)</f>
        <v>0</v>
      </c>
      <c r="C271" t="s">
        <v>77</v>
      </c>
      <c r="D271" s="2" t="s">
        <v>81</v>
      </c>
      <c r="K271" s="59">
        <v>51893</v>
      </c>
    </row>
    <row r="272" spans="2:11" x14ac:dyDescent="0.25">
      <c r="B272" s="10">
        <f>B271*2</f>
        <v>0</v>
      </c>
      <c r="C272" t="s">
        <v>77</v>
      </c>
      <c r="D272" s="2" t="s">
        <v>82</v>
      </c>
      <c r="K272" s="58"/>
    </row>
    <row r="273" spans="2:11" x14ac:dyDescent="0.25">
      <c r="B273" s="10">
        <f t="shared" ref="B273:B282" si="23">B272*2</f>
        <v>0</v>
      </c>
      <c r="C273" t="s">
        <v>77</v>
      </c>
      <c r="D273" s="2" t="s">
        <v>413</v>
      </c>
      <c r="K273" s="58"/>
    </row>
    <row r="274" spans="2:11" x14ac:dyDescent="0.25">
      <c r="B274" s="10">
        <f t="shared" si="23"/>
        <v>0</v>
      </c>
      <c r="C274" t="s">
        <v>77</v>
      </c>
      <c r="D274" s="2" t="s">
        <v>4</v>
      </c>
      <c r="K274" s="58"/>
    </row>
    <row r="275" spans="2:11" x14ac:dyDescent="0.25">
      <c r="B275" s="10">
        <f t="shared" si="23"/>
        <v>0</v>
      </c>
      <c r="C275" t="s">
        <v>77</v>
      </c>
      <c r="D275" s="2" t="s">
        <v>29</v>
      </c>
      <c r="K275" s="58"/>
    </row>
    <row r="276" spans="2:11" x14ac:dyDescent="0.25">
      <c r="B276" s="10">
        <f t="shared" si="23"/>
        <v>0</v>
      </c>
      <c r="C276" t="s">
        <v>77</v>
      </c>
      <c r="D276" s="2" t="s">
        <v>6</v>
      </c>
      <c r="K276" s="58"/>
    </row>
    <row r="277" spans="2:11" x14ac:dyDescent="0.25">
      <c r="B277" s="10">
        <f t="shared" si="23"/>
        <v>0</v>
      </c>
      <c r="C277" t="s">
        <v>77</v>
      </c>
      <c r="D277" s="2" t="s">
        <v>75</v>
      </c>
      <c r="K277" s="58"/>
    </row>
    <row r="278" spans="2:11" x14ac:dyDescent="0.25">
      <c r="B278" s="10">
        <f t="shared" si="23"/>
        <v>0</v>
      </c>
      <c r="C278" t="s">
        <v>77</v>
      </c>
      <c r="D278" s="2" t="s">
        <v>76</v>
      </c>
      <c r="K278" s="58"/>
    </row>
    <row r="279" spans="2:11" x14ac:dyDescent="0.25">
      <c r="B279" s="10">
        <f t="shared" si="23"/>
        <v>0</v>
      </c>
      <c r="C279" t="s">
        <v>77</v>
      </c>
      <c r="D279" s="2" t="s">
        <v>9</v>
      </c>
      <c r="K279" s="58"/>
    </row>
    <row r="280" spans="2:11" x14ac:dyDescent="0.25">
      <c r="B280" s="10">
        <f t="shared" si="23"/>
        <v>0</v>
      </c>
      <c r="C280" t="s">
        <v>77</v>
      </c>
      <c r="D280" s="2" t="s">
        <v>40</v>
      </c>
      <c r="K280" s="58"/>
    </row>
    <row r="281" spans="2:11" x14ac:dyDescent="0.25">
      <c r="B281" s="10">
        <f t="shared" si="23"/>
        <v>0</v>
      </c>
      <c r="C281" t="s">
        <v>77</v>
      </c>
      <c r="D281" s="2" t="s">
        <v>11</v>
      </c>
      <c r="K281" s="58"/>
    </row>
    <row r="282" spans="2:11" x14ac:dyDescent="0.25">
      <c r="B282" s="10">
        <f t="shared" si="23"/>
        <v>0</v>
      </c>
      <c r="D282" s="28"/>
    </row>
    <row r="283" spans="2:11" x14ac:dyDescent="0.25">
      <c r="B283" s="10">
        <f>IF('Quote Sheet'!$D$19=Lookup!C283,1,0)</f>
        <v>0</v>
      </c>
      <c r="C283" t="s">
        <v>83</v>
      </c>
      <c r="D283" s="2" t="s">
        <v>81</v>
      </c>
      <c r="K283" s="59">
        <v>50696</v>
      </c>
    </row>
    <row r="284" spans="2:11" x14ac:dyDescent="0.25">
      <c r="B284" s="10">
        <f>B283*2</f>
        <v>0</v>
      </c>
      <c r="C284" t="s">
        <v>83</v>
      </c>
      <c r="D284" s="2" t="s">
        <v>82</v>
      </c>
      <c r="K284" s="58"/>
    </row>
    <row r="285" spans="2:11" x14ac:dyDescent="0.25">
      <c r="B285" s="10">
        <f t="shared" ref="B285:B294" si="24">B284*2</f>
        <v>0</v>
      </c>
      <c r="C285" t="s">
        <v>83</v>
      </c>
      <c r="D285" s="2" t="s">
        <v>413</v>
      </c>
      <c r="K285" s="58"/>
    </row>
    <row r="286" spans="2:11" x14ac:dyDescent="0.25">
      <c r="B286" s="10">
        <f t="shared" si="24"/>
        <v>0</v>
      </c>
      <c r="C286" t="s">
        <v>83</v>
      </c>
      <c r="D286" s="2" t="s">
        <v>4</v>
      </c>
      <c r="K286" s="58"/>
    </row>
    <row r="287" spans="2:11" x14ac:dyDescent="0.25">
      <c r="B287" s="10">
        <f t="shared" si="24"/>
        <v>0</v>
      </c>
      <c r="C287" t="s">
        <v>83</v>
      </c>
      <c r="D287" s="2" t="s">
        <v>29</v>
      </c>
      <c r="K287" s="58"/>
    </row>
    <row r="288" spans="2:11" x14ac:dyDescent="0.25">
      <c r="B288" s="10">
        <f t="shared" si="24"/>
        <v>0</v>
      </c>
      <c r="C288" t="s">
        <v>83</v>
      </c>
      <c r="D288" s="2" t="s">
        <v>24</v>
      </c>
      <c r="K288" s="58"/>
    </row>
    <row r="289" spans="2:11" x14ac:dyDescent="0.25">
      <c r="B289" s="10">
        <f t="shared" si="24"/>
        <v>0</v>
      </c>
      <c r="C289" t="s">
        <v>83</v>
      </c>
      <c r="D289" s="2" t="s">
        <v>15</v>
      </c>
      <c r="K289" s="58"/>
    </row>
    <row r="290" spans="2:11" x14ac:dyDescent="0.25">
      <c r="B290" s="10">
        <f t="shared" si="24"/>
        <v>0</v>
      </c>
      <c r="C290" t="s">
        <v>83</v>
      </c>
      <c r="D290" s="2" t="s">
        <v>39</v>
      </c>
      <c r="K290" s="58"/>
    </row>
    <row r="291" spans="2:11" x14ac:dyDescent="0.25">
      <c r="B291" s="10">
        <f t="shared" si="24"/>
        <v>0</v>
      </c>
      <c r="C291" t="s">
        <v>83</v>
      </c>
      <c r="D291" s="2" t="s">
        <v>9</v>
      </c>
      <c r="K291" s="58"/>
    </row>
    <row r="292" spans="2:11" x14ac:dyDescent="0.25">
      <c r="B292" s="10">
        <f t="shared" si="24"/>
        <v>0</v>
      </c>
      <c r="C292" t="s">
        <v>83</v>
      </c>
      <c r="D292" s="2" t="s">
        <v>40</v>
      </c>
      <c r="K292" s="58"/>
    </row>
    <row r="293" spans="2:11" x14ac:dyDescent="0.25">
      <c r="B293" s="10">
        <f t="shared" si="24"/>
        <v>0</v>
      </c>
      <c r="C293" s="28" t="s">
        <v>83</v>
      </c>
      <c r="D293" s="75" t="s">
        <v>11</v>
      </c>
      <c r="K293" s="58"/>
    </row>
    <row r="294" spans="2:11" x14ac:dyDescent="0.25">
      <c r="B294" s="10">
        <f t="shared" si="24"/>
        <v>0</v>
      </c>
      <c r="D294" s="28"/>
    </row>
    <row r="295" spans="2:11" x14ac:dyDescent="0.25">
      <c r="B295" s="10">
        <f>IF('Quote Sheet'!$D$19=Lookup!C295,1,0)</f>
        <v>0</v>
      </c>
      <c r="C295" t="s">
        <v>84</v>
      </c>
      <c r="D295" s="2" t="s">
        <v>85</v>
      </c>
      <c r="K295" s="59">
        <v>60068</v>
      </c>
    </row>
    <row r="296" spans="2:11" x14ac:dyDescent="0.25">
      <c r="B296" s="10">
        <f>B295*2</f>
        <v>0</v>
      </c>
      <c r="C296" t="s">
        <v>84</v>
      </c>
      <c r="D296" s="2" t="s">
        <v>86</v>
      </c>
      <c r="K296" s="58"/>
    </row>
    <row r="297" spans="2:11" x14ac:dyDescent="0.25">
      <c r="B297" s="10">
        <f t="shared" ref="B297:B306" si="25">B296*2</f>
        <v>0</v>
      </c>
      <c r="C297" t="s">
        <v>84</v>
      </c>
      <c r="D297" s="2" t="s">
        <v>413</v>
      </c>
      <c r="K297" s="58"/>
    </row>
    <row r="298" spans="2:11" x14ac:dyDescent="0.25">
      <c r="B298" s="10">
        <f t="shared" si="25"/>
        <v>0</v>
      </c>
      <c r="C298" t="s">
        <v>84</v>
      </c>
      <c r="D298" s="2" t="s">
        <v>4</v>
      </c>
      <c r="K298" s="58"/>
    </row>
    <row r="299" spans="2:11" x14ac:dyDescent="0.25">
      <c r="B299" s="10">
        <f t="shared" si="25"/>
        <v>0</v>
      </c>
      <c r="C299" t="s">
        <v>84</v>
      </c>
      <c r="D299" s="2" t="s">
        <v>29</v>
      </c>
      <c r="K299" s="58"/>
    </row>
    <row r="300" spans="2:11" x14ac:dyDescent="0.25">
      <c r="B300" s="10">
        <f t="shared" si="25"/>
        <v>0</v>
      </c>
      <c r="C300" t="s">
        <v>84</v>
      </c>
      <c r="D300" s="2" t="s">
        <v>6</v>
      </c>
      <c r="K300" s="58"/>
    </row>
    <row r="301" spans="2:11" x14ac:dyDescent="0.25">
      <c r="B301" s="10">
        <f t="shared" si="25"/>
        <v>0</v>
      </c>
      <c r="C301" t="s">
        <v>84</v>
      </c>
      <c r="D301" s="2" t="s">
        <v>75</v>
      </c>
      <c r="K301" s="58"/>
    </row>
    <row r="302" spans="2:11" x14ac:dyDescent="0.25">
      <c r="B302" s="10">
        <f t="shared" si="25"/>
        <v>0</v>
      </c>
      <c r="C302" t="s">
        <v>84</v>
      </c>
      <c r="D302" s="2" t="s">
        <v>76</v>
      </c>
      <c r="K302" s="58"/>
    </row>
    <row r="303" spans="2:11" x14ac:dyDescent="0.25">
      <c r="B303" s="10">
        <f t="shared" si="25"/>
        <v>0</v>
      </c>
      <c r="C303" t="s">
        <v>84</v>
      </c>
      <c r="D303" s="2" t="s">
        <v>9</v>
      </c>
      <c r="K303" s="58"/>
    </row>
    <row r="304" spans="2:11" x14ac:dyDescent="0.25">
      <c r="B304" s="10">
        <f t="shared" si="25"/>
        <v>0</v>
      </c>
      <c r="C304" t="s">
        <v>84</v>
      </c>
      <c r="D304" s="2" t="s">
        <v>40</v>
      </c>
      <c r="K304" s="58"/>
    </row>
    <row r="305" spans="2:11" x14ac:dyDescent="0.25">
      <c r="B305" s="10">
        <f t="shared" si="25"/>
        <v>0</v>
      </c>
      <c r="C305" t="s">
        <v>84</v>
      </c>
      <c r="D305" s="2" t="s">
        <v>11</v>
      </c>
      <c r="K305" s="58"/>
    </row>
    <row r="306" spans="2:11" x14ac:dyDescent="0.25">
      <c r="B306" s="10">
        <f t="shared" si="25"/>
        <v>0</v>
      </c>
      <c r="D306" s="28"/>
    </row>
    <row r="307" spans="2:11" x14ac:dyDescent="0.25">
      <c r="B307" s="10">
        <f>IF('Quote Sheet'!$D$19=Lookup!C307,1,0)</f>
        <v>0</v>
      </c>
      <c r="C307" t="s">
        <v>87</v>
      </c>
      <c r="D307" s="2" t="s">
        <v>88</v>
      </c>
      <c r="K307" s="59">
        <v>63233</v>
      </c>
    </row>
    <row r="308" spans="2:11" x14ac:dyDescent="0.25">
      <c r="B308" s="10">
        <f>B307*2</f>
        <v>0</v>
      </c>
      <c r="C308" t="s">
        <v>87</v>
      </c>
      <c r="D308" s="2" t="s">
        <v>89</v>
      </c>
      <c r="K308" s="58"/>
    </row>
    <row r="309" spans="2:11" x14ac:dyDescent="0.25">
      <c r="B309" s="10">
        <f t="shared" ref="B309:B318" si="26">B308*2</f>
        <v>0</v>
      </c>
      <c r="C309" t="s">
        <v>87</v>
      </c>
      <c r="D309" s="2" t="s">
        <v>413</v>
      </c>
      <c r="K309" s="58"/>
    </row>
    <row r="310" spans="2:11" x14ac:dyDescent="0.25">
      <c r="B310" s="10">
        <f t="shared" si="26"/>
        <v>0</v>
      </c>
      <c r="C310" t="s">
        <v>87</v>
      </c>
      <c r="D310" s="2" t="s">
        <v>4</v>
      </c>
      <c r="K310" s="58"/>
    </row>
    <row r="311" spans="2:11" x14ac:dyDescent="0.25">
      <c r="B311" s="10">
        <f t="shared" si="26"/>
        <v>0</v>
      </c>
      <c r="C311" t="s">
        <v>87</v>
      </c>
      <c r="D311" s="2" t="s">
        <v>29</v>
      </c>
      <c r="K311" s="58"/>
    </row>
    <row r="312" spans="2:11" x14ac:dyDescent="0.25">
      <c r="B312" s="10">
        <f t="shared" si="26"/>
        <v>0</v>
      </c>
      <c r="C312" t="s">
        <v>87</v>
      </c>
      <c r="D312" s="2" t="s">
        <v>24</v>
      </c>
      <c r="K312" s="58"/>
    </row>
    <row r="313" spans="2:11" x14ac:dyDescent="0.25">
      <c r="B313" s="10">
        <f t="shared" si="26"/>
        <v>0</v>
      </c>
      <c r="C313" t="s">
        <v>87</v>
      </c>
      <c r="D313" s="2" t="s">
        <v>15</v>
      </c>
      <c r="K313" s="58"/>
    </row>
    <row r="314" spans="2:11" x14ac:dyDescent="0.25">
      <c r="B314" s="10">
        <f t="shared" si="26"/>
        <v>0</v>
      </c>
      <c r="C314" t="s">
        <v>87</v>
      </c>
      <c r="D314" s="2" t="s">
        <v>39</v>
      </c>
      <c r="K314" s="58"/>
    </row>
    <row r="315" spans="2:11" x14ac:dyDescent="0.25">
      <c r="B315" s="10">
        <f t="shared" si="26"/>
        <v>0</v>
      </c>
      <c r="C315" t="s">
        <v>87</v>
      </c>
      <c r="D315" s="2" t="s">
        <v>9</v>
      </c>
      <c r="K315" s="58"/>
    </row>
    <row r="316" spans="2:11" x14ac:dyDescent="0.25">
      <c r="B316" s="10">
        <f t="shared" si="26"/>
        <v>0</v>
      </c>
      <c r="C316" t="s">
        <v>87</v>
      </c>
      <c r="D316" s="2" t="s">
        <v>40</v>
      </c>
      <c r="K316" s="58"/>
    </row>
    <row r="317" spans="2:11" x14ac:dyDescent="0.25">
      <c r="B317" s="10">
        <f t="shared" si="26"/>
        <v>0</v>
      </c>
      <c r="C317" t="s">
        <v>87</v>
      </c>
      <c r="D317" s="2" t="s">
        <v>11</v>
      </c>
      <c r="K317" s="58"/>
    </row>
    <row r="318" spans="2:11" x14ac:dyDescent="0.25">
      <c r="B318" s="10">
        <f t="shared" si="26"/>
        <v>0</v>
      </c>
      <c r="D318" s="28"/>
    </row>
    <row r="319" spans="2:11" x14ac:dyDescent="0.25">
      <c r="B319" s="10">
        <f>IF('Quote Sheet'!$D$19=Lookup!C319,1,0)</f>
        <v>0</v>
      </c>
      <c r="C319" t="s">
        <v>90</v>
      </c>
      <c r="D319" s="2" t="s">
        <v>91</v>
      </c>
      <c r="K319" s="59">
        <v>73418</v>
      </c>
    </row>
    <row r="320" spans="2:11" x14ac:dyDescent="0.25">
      <c r="B320" s="10">
        <f>B319*2</f>
        <v>0</v>
      </c>
      <c r="C320" t="s">
        <v>90</v>
      </c>
      <c r="D320" s="2" t="s">
        <v>92</v>
      </c>
      <c r="K320" s="58"/>
    </row>
    <row r="321" spans="2:11" x14ac:dyDescent="0.25">
      <c r="B321" s="10">
        <f t="shared" ref="B321:B330" si="27">B320*2</f>
        <v>0</v>
      </c>
      <c r="C321" t="s">
        <v>90</v>
      </c>
      <c r="D321" s="2" t="s">
        <v>413</v>
      </c>
      <c r="K321" s="58"/>
    </row>
    <row r="322" spans="2:11" x14ac:dyDescent="0.25">
      <c r="B322" s="10">
        <f t="shared" si="27"/>
        <v>0</v>
      </c>
      <c r="C322" t="s">
        <v>90</v>
      </c>
      <c r="D322" s="2" t="s">
        <v>4</v>
      </c>
      <c r="K322" s="58"/>
    </row>
    <row r="323" spans="2:11" x14ac:dyDescent="0.25">
      <c r="B323" s="10">
        <f t="shared" si="27"/>
        <v>0</v>
      </c>
      <c r="C323" t="s">
        <v>90</v>
      </c>
      <c r="D323" s="2" t="s">
        <v>29</v>
      </c>
      <c r="K323" s="58"/>
    </row>
    <row r="324" spans="2:11" x14ac:dyDescent="0.25">
      <c r="B324" s="10">
        <f t="shared" si="27"/>
        <v>0</v>
      </c>
      <c r="C324" t="s">
        <v>90</v>
      </c>
      <c r="D324" s="2" t="s">
        <v>6</v>
      </c>
      <c r="K324" s="58"/>
    </row>
    <row r="325" spans="2:11" x14ac:dyDescent="0.25">
      <c r="B325" s="10">
        <f t="shared" si="27"/>
        <v>0</v>
      </c>
      <c r="C325" t="s">
        <v>90</v>
      </c>
      <c r="D325" s="2" t="s">
        <v>75</v>
      </c>
      <c r="K325" s="58"/>
    </row>
    <row r="326" spans="2:11" x14ac:dyDescent="0.25">
      <c r="B326" s="10">
        <f t="shared" si="27"/>
        <v>0</v>
      </c>
      <c r="C326" t="s">
        <v>90</v>
      </c>
      <c r="D326" s="2" t="s">
        <v>76</v>
      </c>
      <c r="K326" s="58"/>
    </row>
    <row r="327" spans="2:11" x14ac:dyDescent="0.25">
      <c r="B327" s="10">
        <f t="shared" si="27"/>
        <v>0</v>
      </c>
      <c r="C327" t="s">
        <v>90</v>
      </c>
      <c r="D327" s="2" t="s">
        <v>9</v>
      </c>
      <c r="K327" s="58"/>
    </row>
    <row r="328" spans="2:11" x14ac:dyDescent="0.25">
      <c r="B328" s="10">
        <f t="shared" si="27"/>
        <v>0</v>
      </c>
      <c r="C328" t="s">
        <v>90</v>
      </c>
      <c r="D328" s="2" t="s">
        <v>40</v>
      </c>
      <c r="K328" s="58"/>
    </row>
    <row r="329" spans="2:11" x14ac:dyDescent="0.25">
      <c r="B329" s="10">
        <f t="shared" si="27"/>
        <v>0</v>
      </c>
      <c r="C329" t="s">
        <v>90</v>
      </c>
      <c r="D329" s="2" t="s">
        <v>11</v>
      </c>
      <c r="K329" s="58"/>
    </row>
    <row r="330" spans="2:11" x14ac:dyDescent="0.25">
      <c r="B330" s="10">
        <f t="shared" si="27"/>
        <v>0</v>
      </c>
      <c r="D330" s="28"/>
    </row>
    <row r="331" spans="2:11" x14ac:dyDescent="0.25">
      <c r="B331" s="10">
        <f>IF('Quote Sheet'!$D$19=Lookup!C331,1,0)</f>
        <v>0</v>
      </c>
      <c r="C331" t="s">
        <v>93</v>
      </c>
      <c r="D331" s="2" t="s">
        <v>94</v>
      </c>
      <c r="K331" s="59">
        <v>76307</v>
      </c>
    </row>
    <row r="332" spans="2:11" x14ac:dyDescent="0.25">
      <c r="B332" s="10">
        <f>B331*2</f>
        <v>0</v>
      </c>
      <c r="C332" t="s">
        <v>93</v>
      </c>
      <c r="D332" s="2" t="s">
        <v>95</v>
      </c>
    </row>
    <row r="333" spans="2:11" x14ac:dyDescent="0.25">
      <c r="B333" s="10">
        <f t="shared" ref="B333:B341" si="28">B332*2</f>
        <v>0</v>
      </c>
      <c r="C333" t="s">
        <v>93</v>
      </c>
      <c r="D333" s="2" t="s">
        <v>413</v>
      </c>
    </row>
    <row r="334" spans="2:11" x14ac:dyDescent="0.25">
      <c r="B334" s="10">
        <f t="shared" si="28"/>
        <v>0</v>
      </c>
      <c r="C334" t="s">
        <v>93</v>
      </c>
      <c r="D334" s="2" t="s">
        <v>4</v>
      </c>
    </row>
    <row r="335" spans="2:11" x14ac:dyDescent="0.25">
      <c r="B335" s="10">
        <f t="shared" si="28"/>
        <v>0</v>
      </c>
      <c r="C335" t="s">
        <v>93</v>
      </c>
      <c r="D335" s="2" t="s">
        <v>96</v>
      </c>
    </row>
    <row r="336" spans="2:11" x14ac:dyDescent="0.25">
      <c r="B336" s="10">
        <f t="shared" si="28"/>
        <v>0</v>
      </c>
      <c r="C336" t="s">
        <v>93</v>
      </c>
      <c r="D336" s="2" t="s">
        <v>97</v>
      </c>
    </row>
    <row r="337" spans="1:26" x14ac:dyDescent="0.25">
      <c r="B337" s="10">
        <f t="shared" si="28"/>
        <v>0</v>
      </c>
      <c r="C337" t="s">
        <v>93</v>
      </c>
      <c r="D337" s="2" t="s">
        <v>75</v>
      </c>
    </row>
    <row r="338" spans="1:26" x14ac:dyDescent="0.25">
      <c r="B338" s="10">
        <f t="shared" si="28"/>
        <v>0</v>
      </c>
      <c r="C338" t="s">
        <v>93</v>
      </c>
      <c r="D338" s="2" t="s">
        <v>9</v>
      </c>
    </row>
    <row r="339" spans="1:26" x14ac:dyDescent="0.25">
      <c r="B339" s="10">
        <f t="shared" si="28"/>
        <v>0</v>
      </c>
      <c r="C339" t="s">
        <v>93</v>
      </c>
      <c r="D339" s="2" t="s">
        <v>76</v>
      </c>
    </row>
    <row r="340" spans="1:26" x14ac:dyDescent="0.25">
      <c r="B340" s="10">
        <f t="shared" si="28"/>
        <v>0</v>
      </c>
      <c r="C340" t="s">
        <v>93</v>
      </c>
      <c r="D340" s="2" t="s">
        <v>51</v>
      </c>
    </row>
    <row r="341" spans="1:26" x14ac:dyDescent="0.25">
      <c r="B341" s="10">
        <f t="shared" si="28"/>
        <v>0</v>
      </c>
      <c r="C341" s="28" t="s">
        <v>93</v>
      </c>
      <c r="D341" s="2" t="s">
        <v>11</v>
      </c>
    </row>
    <row r="343" spans="1:26" x14ac:dyDescent="0.25">
      <c r="C343" t="s">
        <v>98</v>
      </c>
      <c r="D343" t="s">
        <v>1</v>
      </c>
      <c r="J343" s="4" t="s">
        <v>16</v>
      </c>
      <c r="L343" t="s">
        <v>107</v>
      </c>
      <c r="M343" t="s">
        <v>1</v>
      </c>
      <c r="R343" s="3" t="s">
        <v>16</v>
      </c>
      <c r="T343" t="s">
        <v>116</v>
      </c>
      <c r="U343" t="s">
        <v>1</v>
      </c>
      <c r="Z343" s="3" t="s">
        <v>16</v>
      </c>
    </row>
    <row r="344" spans="1:26" x14ac:dyDescent="0.25">
      <c r="A344" s="12">
        <v>1000</v>
      </c>
      <c r="B344" s="10" t="e">
        <f>IF('Quote Sheet'!#REF!=Lookup!C344,1,0)</f>
        <v>#REF!</v>
      </c>
      <c r="C344" t="s">
        <v>99</v>
      </c>
      <c r="D344" t="s">
        <v>386</v>
      </c>
      <c r="H344" s="74" t="s">
        <v>486</v>
      </c>
      <c r="J344" s="4">
        <v>1902</v>
      </c>
      <c r="L344" t="s">
        <v>108</v>
      </c>
      <c r="M344" t="s">
        <v>387</v>
      </c>
      <c r="R344" s="3">
        <v>801</v>
      </c>
      <c r="T344" t="s">
        <v>117</v>
      </c>
      <c r="U344" t="s">
        <v>314</v>
      </c>
      <c r="Z344" s="3">
        <v>414</v>
      </c>
    </row>
    <row r="345" spans="1:26" x14ac:dyDescent="0.25">
      <c r="A345" s="12">
        <v>2000</v>
      </c>
      <c r="B345" s="10" t="e">
        <f>IF('Quote Sheet'!#REF!=Lookup!C345,1,0)</f>
        <v>#REF!</v>
      </c>
      <c r="C345" t="s">
        <v>100</v>
      </c>
      <c r="D345" t="s">
        <v>396</v>
      </c>
      <c r="H345" s="74" t="s">
        <v>487</v>
      </c>
      <c r="J345" s="4">
        <v>2178</v>
      </c>
      <c r="K345"/>
      <c r="L345" t="s">
        <v>109</v>
      </c>
      <c r="M345" t="s">
        <v>388</v>
      </c>
      <c r="R345" s="3">
        <v>801</v>
      </c>
      <c r="T345" t="s">
        <v>118</v>
      </c>
      <c r="U345" t="s">
        <v>315</v>
      </c>
      <c r="Z345" s="3">
        <v>438</v>
      </c>
    </row>
    <row r="346" spans="1:26" x14ac:dyDescent="0.25">
      <c r="A346" s="12">
        <v>3000</v>
      </c>
      <c r="B346" s="10" t="e">
        <f>IF('Quote Sheet'!#REF!=Lookup!C346,1,0)</f>
        <v>#REF!</v>
      </c>
      <c r="C346" t="s">
        <v>101</v>
      </c>
      <c r="D346" t="s">
        <v>397</v>
      </c>
      <c r="H346" s="74" t="s">
        <v>488</v>
      </c>
      <c r="J346" s="4">
        <v>2460</v>
      </c>
      <c r="K346"/>
      <c r="L346" t="s">
        <v>110</v>
      </c>
      <c r="M346" t="s">
        <v>389</v>
      </c>
      <c r="R346" s="3">
        <v>810</v>
      </c>
      <c r="T346" t="s">
        <v>119</v>
      </c>
      <c r="U346" t="s">
        <v>316</v>
      </c>
      <c r="Z346" s="3">
        <v>438</v>
      </c>
    </row>
    <row r="347" spans="1:26" x14ac:dyDescent="0.25">
      <c r="A347" s="12">
        <v>4000</v>
      </c>
      <c r="B347" s="10" t="e">
        <f>IF('Quote Sheet'!#REF!=Lookup!C347,1,0)</f>
        <v>#REF!</v>
      </c>
      <c r="C347" t="s">
        <v>102</v>
      </c>
      <c r="D347" t="s">
        <v>398</v>
      </c>
      <c r="H347" s="74" t="s">
        <v>489</v>
      </c>
      <c r="J347" s="4">
        <v>2742</v>
      </c>
      <c r="K347"/>
      <c r="L347" t="s">
        <v>111</v>
      </c>
      <c r="M347" t="s">
        <v>390</v>
      </c>
      <c r="R347" s="3">
        <v>810</v>
      </c>
      <c r="T347" t="s">
        <v>120</v>
      </c>
      <c r="U347" t="s">
        <v>317</v>
      </c>
      <c r="Z347" s="3">
        <v>438</v>
      </c>
    </row>
    <row r="348" spans="1:26" x14ac:dyDescent="0.25">
      <c r="A348" s="12">
        <v>5800</v>
      </c>
      <c r="B348" s="10" t="e">
        <f>IF('Quote Sheet'!#REF!=Lookup!C348,1,0)</f>
        <v>#REF!</v>
      </c>
      <c r="C348" t="s">
        <v>103</v>
      </c>
      <c r="D348" t="s">
        <v>399</v>
      </c>
      <c r="H348" s="74" t="s">
        <v>490</v>
      </c>
      <c r="J348" s="4">
        <v>3222</v>
      </c>
      <c r="K348"/>
      <c r="L348" t="s">
        <v>112</v>
      </c>
      <c r="M348" t="s">
        <v>391</v>
      </c>
      <c r="R348" s="3">
        <v>834</v>
      </c>
      <c r="T348" t="s">
        <v>121</v>
      </c>
      <c r="U348" t="s">
        <v>318</v>
      </c>
      <c r="Z348" s="3">
        <v>591</v>
      </c>
    </row>
    <row r="349" spans="1:26" x14ac:dyDescent="0.25">
      <c r="A349" s="12">
        <v>7800</v>
      </c>
      <c r="B349" s="10" t="e">
        <f>IF('Quote Sheet'!#REF!=Lookup!C349,1,0)</f>
        <v>#REF!</v>
      </c>
      <c r="C349" t="s">
        <v>104</v>
      </c>
      <c r="D349" t="s">
        <v>400</v>
      </c>
      <c r="H349" s="74" t="s">
        <v>491</v>
      </c>
      <c r="J349" s="4">
        <v>3536</v>
      </c>
      <c r="K349"/>
      <c r="L349" t="s">
        <v>113</v>
      </c>
      <c r="M349" t="s">
        <v>392</v>
      </c>
      <c r="R349" s="3">
        <v>834</v>
      </c>
      <c r="T349" t="s">
        <v>122</v>
      </c>
      <c r="U349" t="s">
        <v>319</v>
      </c>
      <c r="Z349" s="3">
        <v>591</v>
      </c>
    </row>
    <row r="350" spans="1:26" x14ac:dyDescent="0.25">
      <c r="A350" s="12">
        <v>8600</v>
      </c>
      <c r="B350" s="10" t="e">
        <f>IF('Quote Sheet'!#REF!=Lookup!C350,1,0)</f>
        <v>#REF!</v>
      </c>
      <c r="C350" t="s">
        <v>105</v>
      </c>
      <c r="D350" t="s">
        <v>401</v>
      </c>
      <c r="H350" s="74" t="s">
        <v>492</v>
      </c>
      <c r="J350" s="4">
        <v>3885</v>
      </c>
      <c r="K350"/>
      <c r="L350" t="s">
        <v>114</v>
      </c>
      <c r="M350" t="s">
        <v>393</v>
      </c>
      <c r="R350" s="3">
        <v>985</v>
      </c>
      <c r="T350" t="s">
        <v>123</v>
      </c>
      <c r="U350" t="s">
        <v>320</v>
      </c>
      <c r="Z350" s="3">
        <v>740</v>
      </c>
    </row>
    <row r="351" spans="1:26" x14ac:dyDescent="0.25">
      <c r="A351" s="12">
        <v>10400</v>
      </c>
      <c r="B351" s="10" t="e">
        <f>IF('Quote Sheet'!#REF!=Lookup!C351,1,0)</f>
        <v>#REF!</v>
      </c>
      <c r="C351" t="s">
        <v>106</v>
      </c>
      <c r="D351" t="s">
        <v>402</v>
      </c>
      <c r="H351" s="74" t="s">
        <v>493</v>
      </c>
      <c r="J351" s="4">
        <v>4125</v>
      </c>
      <c r="K351"/>
      <c r="L351" t="s">
        <v>115</v>
      </c>
      <c r="M351" t="s">
        <v>394</v>
      </c>
      <c r="R351" s="3">
        <v>985</v>
      </c>
      <c r="T351" t="s">
        <v>124</v>
      </c>
      <c r="U351" t="s">
        <v>321</v>
      </c>
      <c r="Z351" s="3">
        <v>740</v>
      </c>
    </row>
    <row r="352" spans="1:26" x14ac:dyDescent="0.25">
      <c r="A352" s="12">
        <v>12000</v>
      </c>
      <c r="B352" s="10" t="e">
        <f>IF('Quote Sheet'!#REF!=Lookup!C352,1,0)</f>
        <v>#REF!</v>
      </c>
      <c r="C352" t="s">
        <v>125</v>
      </c>
      <c r="D352" t="s">
        <v>405</v>
      </c>
      <c r="H352" s="74" t="s">
        <v>494</v>
      </c>
      <c r="J352" s="4">
        <v>5864</v>
      </c>
      <c r="K352"/>
      <c r="L352" t="s">
        <v>130</v>
      </c>
      <c r="M352" t="s">
        <v>395</v>
      </c>
      <c r="R352" s="3">
        <v>2134</v>
      </c>
      <c r="T352" t="s">
        <v>135</v>
      </c>
      <c r="U352" t="s">
        <v>322</v>
      </c>
      <c r="Z352" s="3">
        <v>743</v>
      </c>
    </row>
    <row r="353" spans="1:53" x14ac:dyDescent="0.25">
      <c r="A353" s="12">
        <v>14000</v>
      </c>
      <c r="B353" s="10" t="e">
        <f>IF('Quote Sheet'!#REF!=Lookup!C353,1,0)</f>
        <v>#REF!</v>
      </c>
      <c r="C353" t="s">
        <v>126</v>
      </c>
      <c r="D353" t="s">
        <v>403</v>
      </c>
      <c r="H353" s="74" t="s">
        <v>495</v>
      </c>
      <c r="J353" s="4">
        <v>6268</v>
      </c>
      <c r="K353"/>
      <c r="L353" t="s">
        <v>131</v>
      </c>
      <c r="M353" t="s">
        <v>395</v>
      </c>
      <c r="R353" s="3">
        <v>2152</v>
      </c>
      <c r="T353" t="s">
        <v>136</v>
      </c>
      <c r="U353" t="s">
        <v>323</v>
      </c>
      <c r="Z353" s="3">
        <v>743</v>
      </c>
    </row>
    <row r="354" spans="1:53" x14ac:dyDescent="0.25">
      <c r="A354" s="12">
        <v>16000</v>
      </c>
      <c r="B354" s="10" t="e">
        <f>IF('Quote Sheet'!#REF!=Lookup!C354,1,0)</f>
        <v>#REF!</v>
      </c>
      <c r="C354" t="s">
        <v>127</v>
      </c>
      <c r="D354" t="s">
        <v>403</v>
      </c>
      <c r="H354" s="74" t="s">
        <v>496</v>
      </c>
      <c r="J354" s="4">
        <v>6268</v>
      </c>
      <c r="K354"/>
      <c r="L354" t="s">
        <v>132</v>
      </c>
      <c r="M354" t="s">
        <v>395</v>
      </c>
      <c r="R354" s="3">
        <v>2169</v>
      </c>
      <c r="T354" t="s">
        <v>137</v>
      </c>
      <c r="U354" t="s">
        <v>324</v>
      </c>
      <c r="Z354" s="3">
        <v>743</v>
      </c>
    </row>
    <row r="355" spans="1:53" x14ac:dyDescent="0.25">
      <c r="A355" s="12">
        <v>18000</v>
      </c>
      <c r="B355" s="10" t="e">
        <f>IF('Quote Sheet'!#REF!=Lookup!C355,1,0)</f>
        <v>#REF!</v>
      </c>
      <c r="C355" t="s">
        <v>128</v>
      </c>
      <c r="D355" t="s">
        <v>404</v>
      </c>
      <c r="H355" s="74" t="s">
        <v>497</v>
      </c>
      <c r="J355" s="4">
        <v>6648</v>
      </c>
      <c r="K355"/>
      <c r="L355" t="s">
        <v>133</v>
      </c>
      <c r="M355" t="s">
        <v>395</v>
      </c>
      <c r="R355" s="3">
        <v>2314</v>
      </c>
      <c r="T355" t="s">
        <v>138</v>
      </c>
      <c r="U355" t="s">
        <v>325</v>
      </c>
      <c r="Z355" s="3">
        <v>743</v>
      </c>
    </row>
    <row r="356" spans="1:53" x14ac:dyDescent="0.25">
      <c r="A356" s="12">
        <v>20000</v>
      </c>
      <c r="B356" s="10" t="e">
        <f>IF('Quote Sheet'!#REF!=Lookup!C356,1,0)</f>
        <v>#REF!</v>
      </c>
      <c r="C356" t="s">
        <v>129</v>
      </c>
      <c r="D356" t="s">
        <v>404</v>
      </c>
      <c r="H356" s="74" t="s">
        <v>498</v>
      </c>
      <c r="J356" s="4">
        <v>6404</v>
      </c>
      <c r="K356"/>
      <c r="L356" t="s">
        <v>134</v>
      </c>
      <c r="M356" t="s">
        <v>395</v>
      </c>
      <c r="R356" s="3">
        <v>2314</v>
      </c>
      <c r="T356" t="s">
        <v>139</v>
      </c>
      <c r="U356" t="s">
        <v>326</v>
      </c>
      <c r="Z356" s="3">
        <v>743</v>
      </c>
    </row>
    <row r="357" spans="1:53" x14ac:dyDescent="0.25">
      <c r="C357" s="42"/>
      <c r="D357" s="42"/>
      <c r="E357" s="42"/>
      <c r="F357" s="42"/>
      <c r="G357" s="42"/>
      <c r="H357" s="42"/>
      <c r="I357" s="42"/>
      <c r="J357" s="44"/>
      <c r="K357"/>
      <c r="L357" s="42"/>
      <c r="R357" s="3"/>
      <c r="T357"/>
      <c r="Z357" s="3"/>
    </row>
    <row r="358" spans="1:53" x14ac:dyDescent="0.25">
      <c r="C358" s="42" t="s">
        <v>140</v>
      </c>
      <c r="D358" s="42" t="s">
        <v>1</v>
      </c>
      <c r="E358" s="42"/>
      <c r="F358" s="42"/>
      <c r="G358" s="42"/>
      <c r="H358" s="42"/>
      <c r="I358" s="42"/>
      <c r="J358" s="43" t="s">
        <v>16</v>
      </c>
      <c r="K358"/>
      <c r="L358" s="42"/>
    </row>
    <row r="359" spans="1:53" x14ac:dyDescent="0.25">
      <c r="B359" s="10">
        <v>1</v>
      </c>
      <c r="C359" s="42" t="s">
        <v>141</v>
      </c>
      <c r="D359" s="42" t="s">
        <v>142</v>
      </c>
      <c r="E359" s="42"/>
      <c r="F359" s="42"/>
      <c r="G359" s="42"/>
      <c r="H359" s="42"/>
      <c r="I359" s="42"/>
      <c r="J359" s="43">
        <v>798</v>
      </c>
      <c r="K359" s="42"/>
      <c r="L359" s="42"/>
    </row>
    <row r="360" spans="1:53" x14ac:dyDescent="0.25">
      <c r="B360" s="10">
        <v>2</v>
      </c>
      <c r="C360" s="42" t="s">
        <v>143</v>
      </c>
      <c r="D360" s="42" t="s">
        <v>144</v>
      </c>
      <c r="E360" s="42"/>
      <c r="F360" s="42"/>
      <c r="G360" s="42"/>
      <c r="H360" s="42"/>
      <c r="I360" s="42"/>
      <c r="J360" s="43">
        <v>1215</v>
      </c>
      <c r="K360" s="42"/>
      <c r="L360" s="42"/>
    </row>
    <row r="361" spans="1:53" x14ac:dyDescent="0.25">
      <c r="B361" s="10">
        <v>3</v>
      </c>
      <c r="C361" s="42" t="s">
        <v>146</v>
      </c>
      <c r="D361" s="42" t="s">
        <v>145</v>
      </c>
      <c r="E361" s="42"/>
      <c r="F361" s="42"/>
      <c r="G361" s="42"/>
      <c r="H361" s="42"/>
      <c r="I361" s="42"/>
      <c r="J361" s="43">
        <v>1799</v>
      </c>
      <c r="K361" s="42"/>
      <c r="L361" s="42"/>
    </row>
    <row r="362" spans="1:53" s="74" customFormat="1" x14ac:dyDescent="0.25">
      <c r="B362" s="10">
        <v>4</v>
      </c>
      <c r="C362" s="42" t="s">
        <v>472</v>
      </c>
      <c r="D362" s="42" t="s">
        <v>474</v>
      </c>
      <c r="E362" s="42"/>
      <c r="F362" s="42"/>
      <c r="G362" s="42"/>
      <c r="H362" s="42"/>
      <c r="I362" s="42"/>
      <c r="J362" s="43">
        <f>J360*2</f>
        <v>2430</v>
      </c>
      <c r="K362" s="42"/>
      <c r="L362" s="42"/>
      <c r="T362" s="77"/>
      <c r="AB362" s="76"/>
      <c r="AJ362" s="76"/>
      <c r="AS362" s="76"/>
      <c r="BA362" s="76"/>
    </row>
    <row r="363" spans="1:53" s="74" customFormat="1" x14ac:dyDescent="0.25">
      <c r="B363" s="10">
        <v>5</v>
      </c>
      <c r="C363" s="42" t="s">
        <v>473</v>
      </c>
      <c r="D363" s="42" t="s">
        <v>475</v>
      </c>
      <c r="E363" s="42"/>
      <c r="F363" s="42"/>
      <c r="G363" s="42"/>
      <c r="H363" s="42"/>
      <c r="I363" s="42"/>
      <c r="J363" s="43">
        <f>J360+J361</f>
        <v>3014</v>
      </c>
      <c r="K363" s="42"/>
      <c r="L363" s="42"/>
      <c r="T363" s="77"/>
      <c r="AB363" s="76"/>
      <c r="AJ363" s="76"/>
      <c r="AS363" s="76"/>
      <c r="BA363" s="76"/>
    </row>
    <row r="364" spans="1:53" x14ac:dyDescent="0.25">
      <c r="B364" s="10">
        <v>6</v>
      </c>
      <c r="C364" s="42" t="s">
        <v>476</v>
      </c>
      <c r="D364" s="42" t="s">
        <v>477</v>
      </c>
      <c r="E364" s="42"/>
      <c r="F364" s="42"/>
      <c r="G364" s="42"/>
      <c r="H364" s="42"/>
      <c r="I364" s="42"/>
      <c r="J364" s="43">
        <f>J361*2</f>
        <v>3598</v>
      </c>
      <c r="K364" s="42"/>
      <c r="L364" s="42"/>
    </row>
    <row r="365" spans="1:53" s="74" customFormat="1" x14ac:dyDescent="0.25">
      <c r="B365" s="10">
        <v>7</v>
      </c>
      <c r="C365" s="42" t="s">
        <v>478</v>
      </c>
      <c r="D365" s="42" t="s">
        <v>480</v>
      </c>
      <c r="E365" s="42"/>
      <c r="F365" s="42"/>
      <c r="G365" s="42"/>
      <c r="H365" s="42"/>
      <c r="I365" s="42"/>
      <c r="J365" s="43">
        <f>J361+J362</f>
        <v>4229</v>
      </c>
      <c r="K365" s="42"/>
      <c r="L365" s="42"/>
      <c r="T365" s="77"/>
      <c r="AB365" s="76"/>
      <c r="AJ365" s="76"/>
      <c r="AS365" s="76"/>
      <c r="BA365" s="76"/>
    </row>
    <row r="366" spans="1:53" s="74" customFormat="1" x14ac:dyDescent="0.25">
      <c r="B366" s="10">
        <v>8</v>
      </c>
      <c r="C366" s="42" t="s">
        <v>479</v>
      </c>
      <c r="D366" s="42" t="s">
        <v>481</v>
      </c>
      <c r="E366" s="42"/>
      <c r="F366" s="42"/>
      <c r="G366" s="42"/>
      <c r="H366" s="42"/>
      <c r="I366" s="42"/>
      <c r="J366" s="43">
        <f>J362*2</f>
        <v>4860</v>
      </c>
      <c r="K366" s="42"/>
      <c r="L366" s="42"/>
      <c r="T366" s="77"/>
      <c r="AB366" s="76"/>
      <c r="AJ366" s="76"/>
      <c r="AS366" s="76"/>
      <c r="BA366" s="76"/>
    </row>
    <row r="367" spans="1:53" x14ac:dyDescent="0.25">
      <c r="J367" s="3"/>
      <c r="K367" s="42"/>
    </row>
    <row r="368" spans="1:53" x14ac:dyDescent="0.25">
      <c r="C368" t="s">
        <v>147</v>
      </c>
      <c r="D368" t="s">
        <v>1</v>
      </c>
      <c r="I368" s="3" t="s">
        <v>16</v>
      </c>
      <c r="K368" s="42"/>
    </row>
    <row r="369" spans="2:53" x14ac:dyDescent="0.25">
      <c r="C369" t="s">
        <v>148</v>
      </c>
      <c r="D369" t="s">
        <v>406</v>
      </c>
      <c r="I369" s="3">
        <v>1491</v>
      </c>
      <c r="K369"/>
    </row>
    <row r="370" spans="2:53" x14ac:dyDescent="0.25">
      <c r="C370" t="s">
        <v>149</v>
      </c>
      <c r="D370" t="s">
        <v>407</v>
      </c>
      <c r="I370" s="3">
        <v>2236</v>
      </c>
      <c r="K370"/>
    </row>
    <row r="371" spans="2:53" x14ac:dyDescent="0.25">
      <c r="C371" t="s">
        <v>150</v>
      </c>
      <c r="D371" t="s">
        <v>408</v>
      </c>
      <c r="I371" s="3">
        <v>2882</v>
      </c>
      <c r="K371"/>
    </row>
    <row r="372" spans="2:53" x14ac:dyDescent="0.25">
      <c r="C372" t="s">
        <v>151</v>
      </c>
      <c r="D372" t="s">
        <v>409</v>
      </c>
      <c r="I372" s="3">
        <v>4151</v>
      </c>
      <c r="K372"/>
    </row>
    <row r="373" spans="2:53" x14ac:dyDescent="0.25">
      <c r="C373" t="s">
        <v>152</v>
      </c>
      <c r="D373" t="s">
        <v>410</v>
      </c>
      <c r="I373" s="3">
        <v>5740</v>
      </c>
      <c r="K373"/>
      <c r="Q373" s="74"/>
      <c r="R373" s="3"/>
    </row>
    <row r="374" spans="2:53" x14ac:dyDescent="0.25">
      <c r="C374" t="s">
        <v>153</v>
      </c>
      <c r="D374" t="s">
        <v>411</v>
      </c>
      <c r="I374" s="3">
        <v>8255</v>
      </c>
      <c r="K374"/>
      <c r="Q374" s="74"/>
    </row>
    <row r="375" spans="2:53" x14ac:dyDescent="0.25">
      <c r="C375" t="s">
        <v>154</v>
      </c>
      <c r="D375" t="s">
        <v>412</v>
      </c>
      <c r="I375" s="3">
        <v>8332</v>
      </c>
      <c r="K375"/>
    </row>
    <row r="376" spans="2:53" s="28" customFormat="1" x14ac:dyDescent="0.25">
      <c r="B376" s="10"/>
      <c r="I376" s="30"/>
      <c r="K376" s="3"/>
      <c r="Q376" s="74"/>
      <c r="AB376" s="30"/>
      <c r="AJ376" s="30"/>
      <c r="AS376" s="30"/>
      <c r="BA376" s="30"/>
    </row>
    <row r="377" spans="2:53" s="28" customFormat="1" x14ac:dyDescent="0.25">
      <c r="B377" s="10"/>
      <c r="I377" s="30"/>
      <c r="K377" s="3"/>
      <c r="Q377" s="74"/>
      <c r="AB377" s="30"/>
      <c r="AJ377" s="30"/>
      <c r="AS377" s="30"/>
      <c r="BA377" s="30"/>
    </row>
    <row r="378" spans="2:53" x14ac:dyDescent="0.25">
      <c r="C378" s="13" t="s">
        <v>166</v>
      </c>
      <c r="D378" s="13" t="s">
        <v>1</v>
      </c>
      <c r="E378" s="13"/>
      <c r="F378" s="13"/>
      <c r="G378" s="13"/>
      <c r="I378" s="13" t="s">
        <v>16</v>
      </c>
      <c r="K378" s="30"/>
    </row>
    <row r="379" spans="2:53" x14ac:dyDescent="0.25">
      <c r="B379" s="28" t="s">
        <v>331</v>
      </c>
      <c r="C379" s="13" t="s">
        <v>167</v>
      </c>
      <c r="D379" s="13" t="s">
        <v>168</v>
      </c>
      <c r="E379" s="13"/>
      <c r="F379" s="13"/>
      <c r="G379" s="13"/>
      <c r="I379" s="61">
        <v>928</v>
      </c>
      <c r="K379" s="30"/>
      <c r="Q379" s="74"/>
    </row>
    <row r="380" spans="2:53" x14ac:dyDescent="0.25">
      <c r="B380" s="28" t="s">
        <v>332</v>
      </c>
      <c r="C380" s="13" t="s">
        <v>169</v>
      </c>
      <c r="D380" s="13" t="s">
        <v>170</v>
      </c>
      <c r="E380" s="13"/>
      <c r="F380" s="13"/>
      <c r="G380" s="13"/>
      <c r="I380" s="61">
        <v>1010</v>
      </c>
      <c r="Q380" s="74"/>
      <c r="T380" s="16"/>
    </row>
    <row r="381" spans="2:53" x14ac:dyDescent="0.25">
      <c r="B381" s="28" t="s">
        <v>333</v>
      </c>
      <c r="C381" s="13" t="s">
        <v>171</v>
      </c>
      <c r="D381" s="13" t="s">
        <v>172</v>
      </c>
      <c r="E381" s="13"/>
      <c r="F381" s="13"/>
      <c r="G381" s="13"/>
      <c r="I381" s="61">
        <v>1032</v>
      </c>
    </row>
    <row r="382" spans="2:53" x14ac:dyDescent="0.25">
      <c r="B382" s="28" t="s">
        <v>334</v>
      </c>
      <c r="C382" s="13" t="s">
        <v>173</v>
      </c>
      <c r="D382" s="13" t="s">
        <v>174</v>
      </c>
      <c r="E382" s="13"/>
      <c r="F382" s="13"/>
      <c r="G382" s="13"/>
      <c r="I382" s="61">
        <v>1059</v>
      </c>
      <c r="Q382" s="74"/>
    </row>
    <row r="383" spans="2:53" x14ac:dyDescent="0.25">
      <c r="B383" s="28" t="s">
        <v>335</v>
      </c>
      <c r="C383" s="13" t="s">
        <v>175</v>
      </c>
      <c r="D383" s="13" t="s">
        <v>176</v>
      </c>
      <c r="E383" s="13"/>
      <c r="F383" s="13"/>
      <c r="G383" s="13"/>
      <c r="I383" s="61">
        <v>1095</v>
      </c>
      <c r="Q383" s="74"/>
    </row>
    <row r="384" spans="2:53" x14ac:dyDescent="0.25">
      <c r="B384" s="28" t="s">
        <v>336</v>
      </c>
      <c r="C384" s="13" t="s">
        <v>177</v>
      </c>
      <c r="D384" s="13" t="s">
        <v>178</v>
      </c>
      <c r="E384" s="13"/>
      <c r="F384" s="13"/>
      <c r="G384" s="13"/>
      <c r="I384" s="61">
        <v>1227</v>
      </c>
    </row>
    <row r="385" spans="2:53" x14ac:dyDescent="0.25">
      <c r="B385" s="28" t="s">
        <v>337</v>
      </c>
      <c r="C385" s="13" t="s">
        <v>179</v>
      </c>
      <c r="D385" s="13" t="s">
        <v>180</v>
      </c>
      <c r="E385" s="13"/>
      <c r="F385" s="13"/>
      <c r="G385" s="13"/>
      <c r="I385" s="61">
        <v>1264</v>
      </c>
      <c r="Q385" s="74"/>
    </row>
    <row r="386" spans="2:53" x14ac:dyDescent="0.25">
      <c r="B386" s="28" t="s">
        <v>338</v>
      </c>
      <c r="C386" s="13" t="s">
        <v>181</v>
      </c>
      <c r="D386" s="13" t="s">
        <v>182</v>
      </c>
      <c r="E386" s="13"/>
      <c r="F386" s="13"/>
      <c r="G386" s="13"/>
      <c r="I386" s="61">
        <v>1303</v>
      </c>
      <c r="Q386" s="74"/>
    </row>
    <row r="387" spans="2:53" x14ac:dyDescent="0.25">
      <c r="B387" s="28" t="s">
        <v>339</v>
      </c>
      <c r="C387" s="13" t="s">
        <v>183</v>
      </c>
      <c r="D387" s="13" t="s">
        <v>184</v>
      </c>
      <c r="E387" s="13"/>
      <c r="F387" s="13"/>
      <c r="G387" s="13"/>
      <c r="I387" s="61">
        <v>1342</v>
      </c>
    </row>
    <row r="388" spans="2:53" x14ac:dyDescent="0.25">
      <c r="B388" s="28" t="s">
        <v>340</v>
      </c>
      <c r="C388" s="13" t="s">
        <v>185</v>
      </c>
      <c r="D388" s="13" t="s">
        <v>186</v>
      </c>
      <c r="E388" s="13"/>
      <c r="F388" s="13"/>
      <c r="G388" s="13"/>
      <c r="I388" s="61">
        <v>1377</v>
      </c>
      <c r="Q388" s="74"/>
    </row>
    <row r="389" spans="2:53" x14ac:dyDescent="0.25">
      <c r="B389" s="28" t="s">
        <v>341</v>
      </c>
      <c r="C389" s="13" t="s">
        <v>187</v>
      </c>
      <c r="D389" s="13" t="s">
        <v>188</v>
      </c>
      <c r="E389" s="13"/>
      <c r="F389" s="13"/>
      <c r="G389" s="13"/>
      <c r="I389" s="61">
        <v>1415</v>
      </c>
      <c r="Q389" s="74"/>
    </row>
    <row r="390" spans="2:53" x14ac:dyDescent="0.25">
      <c r="B390" s="28" t="s">
        <v>342</v>
      </c>
      <c r="C390" s="13" t="s">
        <v>189</v>
      </c>
      <c r="D390" s="13" t="s">
        <v>190</v>
      </c>
      <c r="E390" s="13"/>
      <c r="F390" s="13"/>
      <c r="G390" s="13"/>
      <c r="I390" s="61">
        <v>1481</v>
      </c>
    </row>
    <row r="391" spans="2:53" x14ac:dyDescent="0.25">
      <c r="B391" s="28" t="s">
        <v>343</v>
      </c>
      <c r="C391" s="13" t="s">
        <v>191</v>
      </c>
      <c r="D391" s="13" t="s">
        <v>192</v>
      </c>
      <c r="E391" s="13"/>
      <c r="F391" s="13"/>
      <c r="G391" s="13"/>
      <c r="I391" s="61">
        <v>1503</v>
      </c>
      <c r="Q391" s="74"/>
    </row>
    <row r="392" spans="2:53" x14ac:dyDescent="0.25">
      <c r="B392" s="28" t="s">
        <v>344</v>
      </c>
      <c r="C392" s="13" t="s">
        <v>193</v>
      </c>
      <c r="D392" s="13" t="s">
        <v>194</v>
      </c>
      <c r="E392" s="13"/>
      <c r="F392" s="13"/>
      <c r="G392" s="13"/>
      <c r="I392" s="61">
        <v>1532</v>
      </c>
      <c r="Q392" s="74"/>
    </row>
    <row r="393" spans="2:53" x14ac:dyDescent="0.25">
      <c r="B393" s="28" t="s">
        <v>345</v>
      </c>
      <c r="C393" s="13" t="s">
        <v>195</v>
      </c>
      <c r="D393" s="13" t="s">
        <v>196</v>
      </c>
      <c r="E393" s="13"/>
      <c r="F393" s="13"/>
      <c r="G393" s="13"/>
      <c r="I393" s="61">
        <v>1559</v>
      </c>
    </row>
    <row r="394" spans="2:53" x14ac:dyDescent="0.25">
      <c r="B394" s="28" t="s">
        <v>346</v>
      </c>
      <c r="C394" s="13" t="s">
        <v>197</v>
      </c>
      <c r="D394" s="13" t="s">
        <v>198</v>
      </c>
      <c r="E394" s="13"/>
      <c r="F394" s="13"/>
      <c r="G394" s="13"/>
      <c r="I394" s="61">
        <v>1578</v>
      </c>
      <c r="Q394" s="74"/>
    </row>
    <row r="395" spans="2:53" s="60" customFormat="1" x14ac:dyDescent="0.25">
      <c r="I395" s="61"/>
      <c r="K395" s="61"/>
      <c r="Q395" s="74"/>
      <c r="T395" s="62"/>
      <c r="AB395" s="61"/>
      <c r="AJ395" s="61"/>
      <c r="AS395" s="61"/>
      <c r="BA395" s="61"/>
    </row>
    <row r="396" spans="2:53" s="63" customFormat="1" x14ac:dyDescent="0.25">
      <c r="C396" s="66" t="s">
        <v>414</v>
      </c>
      <c r="D396" s="66" t="s">
        <v>1</v>
      </c>
      <c r="E396" s="66"/>
      <c r="F396" s="66"/>
      <c r="G396" s="66"/>
      <c r="H396" s="66"/>
      <c r="I396" s="67" t="s">
        <v>16</v>
      </c>
      <c r="K396" s="64"/>
      <c r="T396" s="65"/>
      <c r="AB396" s="64"/>
      <c r="AJ396" s="64"/>
      <c r="AS396" s="64"/>
      <c r="BA396" s="64"/>
    </row>
    <row r="397" spans="2:53" s="63" customFormat="1" x14ac:dyDescent="0.25">
      <c r="C397" s="66" t="s">
        <v>415</v>
      </c>
      <c r="D397" s="66" t="s">
        <v>427</v>
      </c>
      <c r="E397" s="66"/>
      <c r="F397" s="66"/>
      <c r="G397" s="66"/>
      <c r="H397" s="66"/>
      <c r="I397" s="67">
        <v>2326</v>
      </c>
      <c r="K397" s="64"/>
      <c r="T397" s="65"/>
      <c r="AB397" s="64"/>
      <c r="AJ397" s="64"/>
      <c r="AS397" s="64"/>
      <c r="BA397" s="64"/>
    </row>
    <row r="398" spans="2:53" s="63" customFormat="1" x14ac:dyDescent="0.25">
      <c r="C398" s="66" t="s">
        <v>416</v>
      </c>
      <c r="D398" s="66" t="s">
        <v>426</v>
      </c>
      <c r="E398" s="66"/>
      <c r="F398" s="66"/>
      <c r="G398" s="66"/>
      <c r="H398" s="66"/>
      <c r="I398" s="67">
        <v>2349</v>
      </c>
      <c r="K398" s="64"/>
      <c r="T398" s="65"/>
      <c r="AB398" s="64"/>
      <c r="AJ398" s="64"/>
      <c r="AS398" s="64"/>
      <c r="BA398" s="64"/>
    </row>
    <row r="399" spans="2:53" s="63" customFormat="1" x14ac:dyDescent="0.25">
      <c r="C399" s="66" t="s">
        <v>417</v>
      </c>
      <c r="D399" s="66" t="s">
        <v>425</v>
      </c>
      <c r="E399" s="66"/>
      <c r="F399" s="66"/>
      <c r="G399" s="66"/>
      <c r="H399" s="66"/>
      <c r="I399" s="67">
        <v>2806</v>
      </c>
      <c r="K399" s="64"/>
      <c r="T399" s="65"/>
      <c r="AB399" s="64"/>
      <c r="AJ399" s="64"/>
      <c r="AS399" s="64"/>
      <c r="BA399" s="64"/>
    </row>
    <row r="400" spans="2:53" s="60" customFormat="1" x14ac:dyDescent="0.25">
      <c r="C400" s="66" t="s">
        <v>418</v>
      </c>
      <c r="D400" s="66" t="s">
        <v>424</v>
      </c>
      <c r="E400" s="66"/>
      <c r="F400" s="66"/>
      <c r="G400" s="66"/>
      <c r="H400" s="66"/>
      <c r="I400" s="67">
        <v>3564</v>
      </c>
      <c r="K400" s="61"/>
      <c r="T400" s="62"/>
      <c r="AB400" s="61"/>
      <c r="AJ400" s="61"/>
      <c r="AS400" s="61"/>
      <c r="BA400" s="61"/>
    </row>
    <row r="401" spans="3:53" s="60" customFormat="1" x14ac:dyDescent="0.25">
      <c r="C401" s="66"/>
      <c r="D401" s="66"/>
      <c r="E401" s="66"/>
      <c r="F401" s="66"/>
      <c r="G401" s="66"/>
      <c r="H401" s="66"/>
      <c r="I401" s="66"/>
      <c r="K401" s="61"/>
      <c r="T401" s="62"/>
      <c r="AB401" s="61"/>
      <c r="AJ401" s="61"/>
      <c r="AS401" s="61"/>
      <c r="BA401" s="61"/>
    </row>
    <row r="402" spans="3:53" s="60" customFormat="1" x14ac:dyDescent="0.25">
      <c r="C402" s="66" t="s">
        <v>419</v>
      </c>
      <c r="D402" s="66" t="s">
        <v>420</v>
      </c>
      <c r="E402" s="66"/>
      <c r="F402" s="66"/>
      <c r="G402" s="66"/>
      <c r="H402" s="66"/>
      <c r="I402" s="67">
        <v>200</v>
      </c>
      <c r="K402" s="61"/>
      <c r="T402" s="62"/>
      <c r="AB402" s="61"/>
      <c r="AJ402" s="61"/>
      <c r="AS402" s="61"/>
      <c r="BA402" s="61"/>
    </row>
    <row r="403" spans="3:53" s="60" customFormat="1" x14ac:dyDescent="0.25">
      <c r="I403" s="61"/>
      <c r="K403" s="61"/>
      <c r="T403" s="62"/>
      <c r="AB403" s="61"/>
      <c r="AJ403" s="61"/>
      <c r="AS403" s="61"/>
      <c r="BA403" s="61"/>
    </row>
    <row r="404" spans="3:53" x14ac:dyDescent="0.25">
      <c r="C404" s="14" t="s">
        <v>199</v>
      </c>
      <c r="D404" s="14" t="s">
        <v>1</v>
      </c>
      <c r="E404" s="14"/>
      <c r="F404" s="14"/>
      <c r="G404" s="14"/>
      <c r="H404" s="14"/>
      <c r="I404" s="14" t="s">
        <v>16</v>
      </c>
      <c r="K404" s="15"/>
    </row>
    <row r="405" spans="3:53" x14ac:dyDescent="0.25">
      <c r="C405" s="14" t="s">
        <v>200</v>
      </c>
      <c r="D405" s="14" t="s">
        <v>201</v>
      </c>
      <c r="E405" s="14"/>
      <c r="F405" s="14"/>
      <c r="G405" s="14"/>
      <c r="H405" s="14"/>
      <c r="I405" s="17">
        <v>355</v>
      </c>
    </row>
    <row r="406" spans="3:53" x14ac:dyDescent="0.25">
      <c r="C406" s="14"/>
      <c r="D406" s="14" t="s">
        <v>202</v>
      </c>
      <c r="E406" s="14"/>
      <c r="F406" s="14"/>
      <c r="G406" s="14"/>
      <c r="H406" s="14"/>
      <c r="I406" s="14"/>
    </row>
    <row r="407" spans="3:53" x14ac:dyDescent="0.25">
      <c r="C407" s="14"/>
      <c r="D407" s="14"/>
      <c r="E407" s="14"/>
      <c r="F407" s="14"/>
      <c r="G407" s="14"/>
      <c r="H407" s="14"/>
      <c r="I407" s="14"/>
    </row>
    <row r="409" spans="3:53" x14ac:dyDescent="0.25">
      <c r="C409" s="18" t="s">
        <v>203</v>
      </c>
      <c r="D409" s="18" t="s">
        <v>1</v>
      </c>
      <c r="E409" s="18"/>
      <c r="F409" s="18"/>
      <c r="G409" s="18"/>
      <c r="H409" s="18"/>
      <c r="N409" s="19" t="s">
        <v>16</v>
      </c>
    </row>
    <row r="410" spans="3:53" x14ac:dyDescent="0.25">
      <c r="C410" s="18" t="s">
        <v>204</v>
      </c>
      <c r="D410" s="18" t="s">
        <v>305</v>
      </c>
      <c r="E410" s="18"/>
      <c r="F410" s="18"/>
      <c r="G410" s="18"/>
      <c r="H410" s="18"/>
      <c r="N410" s="19">
        <v>927</v>
      </c>
    </row>
    <row r="411" spans="3:53" x14ac:dyDescent="0.25">
      <c r="C411" s="18" t="s">
        <v>205</v>
      </c>
      <c r="D411" s="18" t="s">
        <v>306</v>
      </c>
      <c r="E411" s="18"/>
      <c r="F411" s="18"/>
      <c r="G411" s="18"/>
      <c r="H411" s="18"/>
      <c r="N411" s="19">
        <v>1258</v>
      </c>
    </row>
    <row r="412" spans="3:53" x14ac:dyDescent="0.25">
      <c r="C412" s="18" t="s">
        <v>206</v>
      </c>
      <c r="D412" s="18" t="s">
        <v>307</v>
      </c>
      <c r="E412" s="18"/>
      <c r="F412" s="18"/>
      <c r="G412" s="18"/>
      <c r="H412" s="18"/>
      <c r="N412" s="19">
        <v>1341</v>
      </c>
    </row>
    <row r="413" spans="3:53" x14ac:dyDescent="0.25">
      <c r="C413" s="18" t="s">
        <v>207</v>
      </c>
      <c r="D413" s="18" t="s">
        <v>308</v>
      </c>
      <c r="E413" s="18"/>
      <c r="F413" s="18"/>
      <c r="G413" s="18"/>
      <c r="H413" s="18"/>
      <c r="N413" s="19">
        <v>1920</v>
      </c>
    </row>
    <row r="414" spans="3:53" x14ac:dyDescent="0.25">
      <c r="C414" s="18" t="s">
        <v>208</v>
      </c>
      <c r="D414" s="18" t="s">
        <v>309</v>
      </c>
      <c r="E414" s="18"/>
      <c r="F414" s="18"/>
      <c r="G414" s="18"/>
      <c r="H414" s="18"/>
      <c r="N414" s="19">
        <v>2240</v>
      </c>
    </row>
    <row r="415" spans="3:53" x14ac:dyDescent="0.25">
      <c r="C415" s="18" t="s">
        <v>209</v>
      </c>
      <c r="D415" s="18" t="s">
        <v>310</v>
      </c>
      <c r="E415" s="18"/>
      <c r="F415" s="18"/>
      <c r="G415" s="18"/>
      <c r="H415" s="18"/>
      <c r="N415" s="19">
        <v>2719</v>
      </c>
    </row>
    <row r="416" spans="3:53" x14ac:dyDescent="0.25">
      <c r="C416" s="18"/>
      <c r="D416" s="18"/>
      <c r="E416" s="18"/>
      <c r="F416" s="18"/>
      <c r="G416" s="18"/>
      <c r="H416" s="18"/>
      <c r="I416" s="18"/>
    </row>
    <row r="419" spans="2:9" x14ac:dyDescent="0.25">
      <c r="C419" s="20" t="s">
        <v>210</v>
      </c>
      <c r="D419" s="20" t="s">
        <v>211</v>
      </c>
      <c r="E419" s="20"/>
      <c r="F419" s="20"/>
      <c r="G419" s="20"/>
      <c r="H419" s="20"/>
      <c r="I419" s="21" t="s">
        <v>16</v>
      </c>
    </row>
    <row r="420" spans="2:9" x14ac:dyDescent="0.25">
      <c r="B420" s="10">
        <v>1</v>
      </c>
      <c r="C420" s="20" t="s">
        <v>212</v>
      </c>
      <c r="D420" s="20" t="s">
        <v>355</v>
      </c>
      <c r="E420" s="20"/>
      <c r="F420" s="20"/>
      <c r="G420" s="20"/>
      <c r="H420" s="20"/>
      <c r="I420" s="21">
        <v>150</v>
      </c>
    </row>
    <row r="421" spans="2:9" x14ac:dyDescent="0.25">
      <c r="C421" s="20"/>
      <c r="D421" s="20" t="s">
        <v>213</v>
      </c>
      <c r="E421" s="20"/>
      <c r="F421" s="20"/>
      <c r="G421" s="20"/>
      <c r="H421" s="20"/>
      <c r="I421" s="20"/>
    </row>
    <row r="422" spans="2:9" x14ac:dyDescent="0.25">
      <c r="C422" s="20"/>
      <c r="D422" s="20"/>
      <c r="E422" s="20"/>
      <c r="F422" s="20"/>
      <c r="G422" s="20"/>
      <c r="H422" s="20"/>
      <c r="I422" s="20"/>
    </row>
    <row r="423" spans="2:9" x14ac:dyDescent="0.25">
      <c r="B423" s="10">
        <v>2</v>
      </c>
      <c r="C423" s="20" t="s">
        <v>214</v>
      </c>
      <c r="D423" s="20" t="s">
        <v>355</v>
      </c>
      <c r="E423" s="20"/>
      <c r="F423" s="20"/>
      <c r="G423" s="20"/>
      <c r="H423" s="20"/>
      <c r="I423" s="21">
        <v>300</v>
      </c>
    </row>
    <row r="424" spans="2:9" x14ac:dyDescent="0.25">
      <c r="C424" s="20"/>
      <c r="D424" s="20" t="s">
        <v>215</v>
      </c>
      <c r="E424" s="20"/>
      <c r="F424" s="20"/>
      <c r="G424" s="20"/>
      <c r="H424" s="20"/>
      <c r="I424" s="20"/>
    </row>
    <row r="425" spans="2:9" x14ac:dyDescent="0.25">
      <c r="C425" s="20"/>
      <c r="D425" s="20"/>
      <c r="E425" s="20"/>
      <c r="F425" s="20"/>
      <c r="G425" s="20"/>
      <c r="H425" s="20"/>
      <c r="I425" s="20"/>
    </row>
    <row r="426" spans="2:9" x14ac:dyDescent="0.25">
      <c r="B426" s="10">
        <v>3</v>
      </c>
      <c r="C426" s="20" t="s">
        <v>216</v>
      </c>
      <c r="D426" s="20" t="s">
        <v>355</v>
      </c>
      <c r="E426" s="20"/>
      <c r="F426" s="20"/>
      <c r="G426" s="20"/>
      <c r="H426" s="20"/>
      <c r="I426" s="21">
        <v>450</v>
      </c>
    </row>
    <row r="427" spans="2:9" x14ac:dyDescent="0.25">
      <c r="C427" s="20"/>
      <c r="D427" s="20" t="s">
        <v>217</v>
      </c>
      <c r="E427" s="20"/>
      <c r="F427" s="20"/>
      <c r="G427" s="20"/>
      <c r="H427" s="20"/>
      <c r="I427" s="20"/>
    </row>
    <row r="428" spans="2:9" x14ac:dyDescent="0.25">
      <c r="C428" s="20"/>
      <c r="D428" s="20"/>
      <c r="E428" s="20"/>
      <c r="F428" s="20"/>
      <c r="G428" s="20"/>
      <c r="H428" s="20"/>
      <c r="I428" s="20"/>
    </row>
    <row r="429" spans="2:9" x14ac:dyDescent="0.25">
      <c r="B429" s="10">
        <v>4</v>
      </c>
      <c r="C429" s="20" t="s">
        <v>218</v>
      </c>
      <c r="D429" s="20" t="s">
        <v>355</v>
      </c>
      <c r="E429" s="20"/>
      <c r="F429" s="20"/>
      <c r="G429" s="20"/>
      <c r="H429" s="20"/>
      <c r="I429" s="21">
        <v>600</v>
      </c>
    </row>
    <row r="430" spans="2:9" x14ac:dyDescent="0.25">
      <c r="C430" s="20"/>
      <c r="D430" s="20" t="s">
        <v>219</v>
      </c>
      <c r="E430" s="20"/>
      <c r="F430" s="20"/>
      <c r="G430" s="20"/>
      <c r="H430" s="20"/>
      <c r="I430" s="20"/>
    </row>
    <row r="431" spans="2:9" x14ac:dyDescent="0.25">
      <c r="C431" s="20"/>
      <c r="D431" s="20"/>
      <c r="E431" s="20"/>
      <c r="F431" s="20"/>
      <c r="G431" s="20"/>
      <c r="H431" s="20"/>
      <c r="I431" s="20"/>
    </row>
    <row r="432" spans="2:9" x14ac:dyDescent="0.25">
      <c r="B432" s="10">
        <v>5</v>
      </c>
      <c r="C432" s="20" t="s">
        <v>220</v>
      </c>
      <c r="D432" s="20" t="s">
        <v>355</v>
      </c>
      <c r="E432" s="20"/>
      <c r="F432" s="20"/>
      <c r="G432" s="20"/>
      <c r="H432" s="20"/>
      <c r="I432" s="21">
        <v>750</v>
      </c>
    </row>
    <row r="433" spans="2:53" x14ac:dyDescent="0.25">
      <c r="C433" s="20"/>
      <c r="D433" s="20" t="s">
        <v>221</v>
      </c>
      <c r="E433" s="20"/>
      <c r="F433" s="20"/>
      <c r="G433" s="20"/>
      <c r="H433" s="20"/>
      <c r="I433" s="20"/>
    </row>
    <row r="434" spans="2:53" x14ac:dyDescent="0.25">
      <c r="C434" s="20"/>
      <c r="D434" s="20"/>
      <c r="E434" s="20"/>
      <c r="F434" s="20"/>
      <c r="G434" s="20"/>
      <c r="H434" s="20"/>
      <c r="I434" s="20"/>
    </row>
    <row r="435" spans="2:53" x14ac:dyDescent="0.25">
      <c r="B435" s="10">
        <v>6</v>
      </c>
      <c r="C435" s="20" t="s">
        <v>222</v>
      </c>
      <c r="D435" s="20" t="s">
        <v>355</v>
      </c>
      <c r="E435" s="20"/>
      <c r="F435" s="20"/>
      <c r="G435" s="20"/>
      <c r="H435" s="20"/>
      <c r="I435" s="21">
        <v>900</v>
      </c>
    </row>
    <row r="436" spans="2:53" x14ac:dyDescent="0.25">
      <c r="C436" s="20"/>
      <c r="D436" s="20" t="s">
        <v>223</v>
      </c>
      <c r="E436" s="20"/>
      <c r="F436" s="20"/>
      <c r="G436" s="20"/>
      <c r="H436" s="20"/>
      <c r="I436" s="20"/>
    </row>
    <row r="437" spans="2:53" x14ac:dyDescent="0.25">
      <c r="C437" s="20"/>
      <c r="D437" s="20"/>
      <c r="E437" s="20"/>
      <c r="F437" s="20"/>
      <c r="G437" s="20"/>
      <c r="H437" s="20"/>
      <c r="I437" s="20"/>
    </row>
    <row r="438" spans="2:53" x14ac:dyDescent="0.25">
      <c r="B438" s="10">
        <v>7</v>
      </c>
      <c r="C438" s="20" t="s">
        <v>224</v>
      </c>
      <c r="D438" s="20" t="s">
        <v>355</v>
      </c>
      <c r="E438" s="20"/>
      <c r="F438" s="20"/>
      <c r="G438" s="20"/>
      <c r="H438" s="20"/>
      <c r="I438" s="21">
        <v>1050</v>
      </c>
    </row>
    <row r="439" spans="2:53" x14ac:dyDescent="0.25">
      <c r="C439" s="20"/>
      <c r="D439" s="20" t="s">
        <v>225</v>
      </c>
      <c r="E439" s="20"/>
      <c r="F439" s="20"/>
      <c r="G439" s="20"/>
      <c r="H439" s="20"/>
      <c r="I439" s="20"/>
    </row>
    <row r="440" spans="2:53" s="74" customFormat="1" x14ac:dyDescent="0.25">
      <c r="B440" s="10"/>
      <c r="K440" s="76"/>
      <c r="T440" s="77"/>
      <c r="AB440" s="76"/>
      <c r="AJ440" s="76"/>
      <c r="AS440" s="76"/>
      <c r="BA440" s="76"/>
    </row>
    <row r="441" spans="2:53" s="74" customFormat="1" x14ac:dyDescent="0.25">
      <c r="B441" s="10">
        <v>8</v>
      </c>
      <c r="C441" s="74" t="s">
        <v>464</v>
      </c>
      <c r="D441" s="74" t="s">
        <v>355</v>
      </c>
      <c r="I441" s="76">
        <v>1200</v>
      </c>
      <c r="K441" s="76"/>
      <c r="T441" s="77"/>
      <c r="AB441" s="76"/>
      <c r="AJ441" s="76"/>
      <c r="AS441" s="76"/>
      <c r="BA441" s="76"/>
    </row>
    <row r="442" spans="2:53" x14ac:dyDescent="0.25">
      <c r="C442" s="74"/>
      <c r="D442" s="74" t="s">
        <v>484</v>
      </c>
      <c r="E442" s="74"/>
      <c r="F442" s="74"/>
      <c r="G442" s="74"/>
      <c r="H442" s="74"/>
      <c r="I442" s="74"/>
    </row>
    <row r="444" spans="2:53" x14ac:dyDescent="0.25">
      <c r="C444" s="22" t="s">
        <v>226</v>
      </c>
      <c r="D444" s="22" t="s">
        <v>1</v>
      </c>
      <c r="E444" s="22"/>
      <c r="F444" s="22"/>
      <c r="G444" s="22"/>
      <c r="H444" s="22"/>
      <c r="I444" s="23" t="s">
        <v>16</v>
      </c>
    </row>
    <row r="445" spans="2:53" x14ac:dyDescent="0.25">
      <c r="C445" s="22" t="s">
        <v>227</v>
      </c>
      <c r="D445" s="22" t="s">
        <v>226</v>
      </c>
      <c r="E445" s="22"/>
      <c r="F445" s="22"/>
      <c r="G445" s="22"/>
      <c r="H445" s="22"/>
      <c r="I445" s="23">
        <v>100</v>
      </c>
    </row>
    <row r="446" spans="2:53" x14ac:dyDescent="0.25">
      <c r="C446" s="22"/>
      <c r="D446" s="22" t="s">
        <v>228</v>
      </c>
      <c r="E446" s="22"/>
      <c r="F446" s="22"/>
      <c r="G446" s="22"/>
      <c r="H446" s="22"/>
      <c r="I446" s="22"/>
    </row>
    <row r="447" spans="2:53" x14ac:dyDescent="0.25">
      <c r="C447" s="22"/>
      <c r="D447" s="22"/>
      <c r="E447" s="22"/>
      <c r="F447" s="22"/>
      <c r="G447" s="22"/>
      <c r="H447" s="22"/>
      <c r="I447" s="22"/>
    </row>
    <row r="448" spans="2:53" x14ac:dyDescent="0.25">
      <c r="C448" s="22" t="s">
        <v>229</v>
      </c>
      <c r="D448" s="22" t="s">
        <v>226</v>
      </c>
      <c r="E448" s="22"/>
      <c r="F448" s="22"/>
      <c r="G448" s="22"/>
      <c r="H448" s="22"/>
      <c r="I448" s="23">
        <v>200</v>
      </c>
    </row>
    <row r="449" spans="3:9" x14ac:dyDescent="0.25">
      <c r="C449" s="22"/>
      <c r="D449" s="22" t="s">
        <v>230</v>
      </c>
      <c r="E449" s="22"/>
      <c r="F449" s="22"/>
      <c r="G449" s="22"/>
      <c r="H449" s="22"/>
      <c r="I449" s="22"/>
    </row>
    <row r="450" spans="3:9" x14ac:dyDescent="0.25">
      <c r="C450" s="22"/>
      <c r="D450" s="22"/>
      <c r="E450" s="22"/>
      <c r="F450" s="22"/>
      <c r="G450" s="22"/>
      <c r="H450" s="22"/>
      <c r="I450" s="22"/>
    </row>
    <row r="451" spans="3:9" x14ac:dyDescent="0.25">
      <c r="C451" s="22" t="s">
        <v>231</v>
      </c>
      <c r="D451" s="22" t="s">
        <v>226</v>
      </c>
      <c r="E451" s="22"/>
      <c r="F451" s="22"/>
      <c r="G451" s="22"/>
      <c r="H451" s="22"/>
      <c r="I451" s="23">
        <v>300</v>
      </c>
    </row>
    <row r="452" spans="3:9" x14ac:dyDescent="0.25">
      <c r="C452" s="22"/>
      <c r="D452" s="22" t="s">
        <v>232</v>
      </c>
      <c r="E452" s="22"/>
      <c r="F452" s="22"/>
      <c r="G452" s="22"/>
      <c r="H452" s="22"/>
      <c r="I452" s="22"/>
    </row>
    <row r="453" spans="3:9" x14ac:dyDescent="0.25">
      <c r="C453" s="22"/>
      <c r="D453" s="22"/>
      <c r="E453" s="22"/>
      <c r="F453" s="22"/>
      <c r="G453" s="22"/>
      <c r="H453" s="22"/>
      <c r="I453" s="22"/>
    </row>
    <row r="454" spans="3:9" x14ac:dyDescent="0.25">
      <c r="C454" s="22" t="s">
        <v>233</v>
      </c>
      <c r="D454" s="22" t="s">
        <v>226</v>
      </c>
      <c r="E454" s="22"/>
      <c r="F454" s="22"/>
      <c r="G454" s="22"/>
      <c r="H454" s="22"/>
      <c r="I454" s="23">
        <v>400</v>
      </c>
    </row>
    <row r="455" spans="3:9" x14ac:dyDescent="0.25">
      <c r="C455" s="22"/>
      <c r="D455" s="22" t="s">
        <v>234</v>
      </c>
      <c r="E455" s="22"/>
      <c r="F455" s="22"/>
      <c r="G455" s="22"/>
      <c r="H455" s="22"/>
      <c r="I455" s="22"/>
    </row>
    <row r="456" spans="3:9" x14ac:dyDescent="0.25">
      <c r="C456" s="22"/>
      <c r="D456" s="22"/>
      <c r="E456" s="22"/>
      <c r="F456" s="22"/>
      <c r="G456" s="22"/>
      <c r="H456" s="22"/>
      <c r="I456" s="22"/>
    </row>
    <row r="457" spans="3:9" x14ac:dyDescent="0.25">
      <c r="C457" s="22" t="s">
        <v>235</v>
      </c>
      <c r="D457" s="22" t="s">
        <v>226</v>
      </c>
      <c r="E457" s="22"/>
      <c r="F457" s="22"/>
      <c r="G457" s="22"/>
      <c r="H457" s="22"/>
      <c r="I457" s="23">
        <v>500</v>
      </c>
    </row>
    <row r="458" spans="3:9" x14ac:dyDescent="0.25">
      <c r="C458" s="22"/>
      <c r="D458" s="22" t="s">
        <v>236</v>
      </c>
      <c r="E458" s="22"/>
      <c r="F458" s="22"/>
      <c r="G458" s="22"/>
      <c r="H458" s="22"/>
      <c r="I458" s="22"/>
    </row>
    <row r="459" spans="3:9" x14ac:dyDescent="0.25">
      <c r="C459" s="22"/>
      <c r="D459" s="22"/>
      <c r="E459" s="22"/>
      <c r="F459" s="22"/>
      <c r="G459" s="22"/>
      <c r="H459" s="22"/>
      <c r="I459" s="22"/>
    </row>
    <row r="460" spans="3:9" x14ac:dyDescent="0.25">
      <c r="C460" s="22" t="s">
        <v>237</v>
      </c>
      <c r="D460" s="22" t="s">
        <v>226</v>
      </c>
      <c r="E460" s="22"/>
      <c r="F460" s="22"/>
      <c r="G460" s="22"/>
      <c r="H460" s="22"/>
      <c r="I460" s="23">
        <v>600</v>
      </c>
    </row>
    <row r="461" spans="3:9" x14ac:dyDescent="0.25">
      <c r="C461" s="22"/>
      <c r="D461" s="22" t="s">
        <v>238</v>
      </c>
      <c r="E461" s="22"/>
      <c r="F461" s="22"/>
      <c r="G461" s="22"/>
      <c r="H461" s="22"/>
      <c r="I461" s="22"/>
    </row>
    <row r="462" spans="3:9" x14ac:dyDescent="0.25">
      <c r="C462" s="22"/>
      <c r="D462" s="22"/>
      <c r="E462" s="22"/>
      <c r="F462" s="22"/>
      <c r="G462" s="22"/>
      <c r="H462" s="22"/>
      <c r="I462" s="22"/>
    </row>
    <row r="463" spans="3:9" x14ac:dyDescent="0.25">
      <c r="C463" s="22" t="s">
        <v>239</v>
      </c>
      <c r="D463" s="22" t="s">
        <v>226</v>
      </c>
      <c r="E463" s="22"/>
      <c r="F463" s="22"/>
      <c r="G463" s="22"/>
      <c r="H463" s="22"/>
      <c r="I463" s="23">
        <v>700</v>
      </c>
    </row>
    <row r="464" spans="3:9" x14ac:dyDescent="0.25">
      <c r="C464" s="22"/>
      <c r="D464" s="22" t="s">
        <v>240</v>
      </c>
      <c r="E464" s="22"/>
      <c r="F464" s="22"/>
      <c r="G464" s="22"/>
      <c r="H464" s="22"/>
      <c r="I464" s="22"/>
    </row>
    <row r="465" spans="2:53" s="70" customFormat="1" x14ac:dyDescent="0.25">
      <c r="B465" s="10"/>
      <c r="K465" s="71"/>
      <c r="T465" s="72"/>
      <c r="AB465" s="71"/>
      <c r="AJ465" s="71"/>
      <c r="AS465" s="71"/>
      <c r="BA465" s="71"/>
    </row>
    <row r="466" spans="2:53" s="70" customFormat="1" x14ac:dyDescent="0.25">
      <c r="B466" s="10"/>
      <c r="C466" s="71" t="s">
        <v>429</v>
      </c>
      <c r="D466" s="71" t="s">
        <v>1</v>
      </c>
      <c r="I466" s="71" t="s">
        <v>16</v>
      </c>
      <c r="K466" s="71"/>
      <c r="T466" s="72"/>
      <c r="AB466" s="71"/>
      <c r="AJ466" s="71"/>
      <c r="AS466" s="71"/>
      <c r="BA466" s="71"/>
    </row>
    <row r="467" spans="2:53" s="70" customFormat="1" x14ac:dyDescent="0.25">
      <c r="B467" s="10"/>
      <c r="C467" s="71" t="s">
        <v>430</v>
      </c>
      <c r="D467" s="71" t="s">
        <v>431</v>
      </c>
      <c r="I467" s="71">
        <v>1188</v>
      </c>
      <c r="K467" s="71"/>
      <c r="T467" s="72"/>
      <c r="AB467" s="71"/>
      <c r="AJ467" s="71"/>
      <c r="AS467" s="71"/>
      <c r="BA467" s="71"/>
    </row>
    <row r="468" spans="2:53" s="70" customFormat="1" x14ac:dyDescent="0.25">
      <c r="B468" s="10"/>
      <c r="C468" s="71" t="s">
        <v>432</v>
      </c>
      <c r="D468" s="71" t="s">
        <v>433</v>
      </c>
      <c r="I468" s="71">
        <v>1404</v>
      </c>
      <c r="K468" s="71"/>
      <c r="T468" s="72"/>
      <c r="AB468" s="71"/>
      <c r="AJ468" s="71"/>
      <c r="AS468" s="71"/>
      <c r="BA468" s="71"/>
    </row>
    <row r="469" spans="2:53" s="70" customFormat="1" x14ac:dyDescent="0.25">
      <c r="B469" s="10"/>
      <c r="C469" s="71" t="s">
        <v>434</v>
      </c>
      <c r="D469" s="71" t="s">
        <v>435</v>
      </c>
      <c r="I469" s="71">
        <v>1647</v>
      </c>
      <c r="K469" s="71"/>
      <c r="T469" s="72"/>
      <c r="AB469" s="71"/>
      <c r="AJ469" s="71"/>
      <c r="AS469" s="71"/>
      <c r="BA469" s="71"/>
    </row>
    <row r="470" spans="2:53" s="70" customFormat="1" x14ac:dyDescent="0.25">
      <c r="B470" s="10"/>
      <c r="C470" s="71" t="s">
        <v>436</v>
      </c>
      <c r="D470" s="71" t="s">
        <v>437</v>
      </c>
      <c r="I470" s="71">
        <v>1779</v>
      </c>
      <c r="K470" s="71"/>
      <c r="T470" s="72"/>
      <c r="AB470" s="71"/>
      <c r="AJ470" s="71"/>
      <c r="AS470" s="71"/>
      <c r="BA470" s="71"/>
    </row>
    <row r="471" spans="2:53" s="70" customFormat="1" x14ac:dyDescent="0.25">
      <c r="B471" s="10"/>
      <c r="C471" s="71" t="s">
        <v>438</v>
      </c>
      <c r="D471" s="71" t="s">
        <v>439</v>
      </c>
      <c r="I471" s="71">
        <v>1891</v>
      </c>
      <c r="K471" s="71"/>
      <c r="T471" s="72"/>
      <c r="AB471" s="71"/>
      <c r="AJ471" s="71"/>
      <c r="AS471" s="71"/>
      <c r="BA471" s="71"/>
    </row>
    <row r="472" spans="2:53" s="70" customFormat="1" x14ac:dyDescent="0.25">
      <c r="B472" s="10"/>
      <c r="C472" s="71" t="s">
        <v>440</v>
      </c>
      <c r="D472" s="71" t="s">
        <v>441</v>
      </c>
      <c r="I472" s="71">
        <v>2059</v>
      </c>
      <c r="K472" s="71"/>
      <c r="T472" s="72"/>
      <c r="AB472" s="71"/>
      <c r="AJ472" s="71"/>
      <c r="AS472" s="71"/>
      <c r="BA472" s="71"/>
    </row>
    <row r="473" spans="2:53" s="70" customFormat="1" x14ac:dyDescent="0.25">
      <c r="B473" s="10"/>
      <c r="C473" s="71" t="s">
        <v>442</v>
      </c>
      <c r="D473" s="71" t="s">
        <v>443</v>
      </c>
      <c r="I473" s="71">
        <v>2266</v>
      </c>
      <c r="K473" s="71"/>
      <c r="T473" s="72"/>
      <c r="AB473" s="71"/>
      <c r="AJ473" s="71"/>
      <c r="AS473" s="71"/>
      <c r="BA473" s="71"/>
    </row>
    <row r="474" spans="2:53" s="70" customFormat="1" x14ac:dyDescent="0.25">
      <c r="B474" s="10"/>
      <c r="C474" s="71" t="s">
        <v>444</v>
      </c>
      <c r="D474" s="71" t="s">
        <v>445</v>
      </c>
      <c r="I474" s="71">
        <v>2379</v>
      </c>
      <c r="K474" s="71"/>
      <c r="T474" s="72"/>
      <c r="AB474" s="71"/>
      <c r="AJ474" s="71"/>
      <c r="AS474" s="71"/>
      <c r="BA474" s="71"/>
    </row>
    <row r="475" spans="2:53" s="70" customFormat="1" x14ac:dyDescent="0.25">
      <c r="B475" s="10"/>
      <c r="C475" s="71" t="s">
        <v>446</v>
      </c>
      <c r="D475" s="71" t="s">
        <v>447</v>
      </c>
      <c r="I475" s="71">
        <v>2472</v>
      </c>
      <c r="K475" s="71"/>
      <c r="T475" s="72"/>
      <c r="AB475" s="71"/>
      <c r="AJ475" s="71"/>
      <c r="AS475" s="71"/>
      <c r="BA475" s="71"/>
    </row>
    <row r="476" spans="2:53" s="70" customFormat="1" x14ac:dyDescent="0.25">
      <c r="B476" s="10"/>
      <c r="C476" s="71" t="s">
        <v>448</v>
      </c>
      <c r="D476" s="71" t="s">
        <v>449</v>
      </c>
      <c r="I476" s="71">
        <v>2641</v>
      </c>
      <c r="K476" s="71"/>
      <c r="T476" s="72"/>
      <c r="AB476" s="71"/>
      <c r="AJ476" s="71"/>
      <c r="AS476" s="71"/>
      <c r="BA476" s="71"/>
    </row>
    <row r="477" spans="2:53" s="70" customFormat="1" x14ac:dyDescent="0.25">
      <c r="B477" s="10"/>
      <c r="C477" s="71" t="s">
        <v>450</v>
      </c>
      <c r="D477" s="71" t="s">
        <v>451</v>
      </c>
      <c r="I477" s="71">
        <v>2884</v>
      </c>
      <c r="K477" s="71"/>
      <c r="T477" s="72"/>
      <c r="AB477" s="71"/>
      <c r="AJ477" s="71"/>
      <c r="AS477" s="71"/>
      <c r="BA477" s="71"/>
    </row>
    <row r="478" spans="2:53" s="70" customFormat="1" x14ac:dyDescent="0.25">
      <c r="B478" s="10"/>
      <c r="C478" s="71" t="s">
        <v>452</v>
      </c>
      <c r="D478" s="71" t="s">
        <v>453</v>
      </c>
      <c r="I478" s="71">
        <v>3163</v>
      </c>
      <c r="K478" s="71"/>
      <c r="T478" s="72"/>
      <c r="AB478" s="71"/>
      <c r="AJ478" s="71"/>
      <c r="AS478" s="71"/>
      <c r="BA478" s="71"/>
    </row>
    <row r="479" spans="2:53" s="70" customFormat="1" x14ac:dyDescent="0.25">
      <c r="B479" s="10"/>
      <c r="C479" s="71" t="s">
        <v>454</v>
      </c>
      <c r="D479" s="71" t="s">
        <v>455</v>
      </c>
      <c r="I479" s="71">
        <v>3343</v>
      </c>
      <c r="K479" s="71"/>
      <c r="T479" s="72"/>
      <c r="AB479" s="71"/>
      <c r="AJ479" s="71"/>
      <c r="AS479" s="71"/>
      <c r="BA479" s="71"/>
    </row>
    <row r="480" spans="2:53" s="70" customFormat="1" x14ac:dyDescent="0.25">
      <c r="B480" s="10"/>
      <c r="C480" s="71" t="s">
        <v>456</v>
      </c>
      <c r="D480" s="71" t="s">
        <v>457</v>
      </c>
      <c r="I480" s="71">
        <v>3584</v>
      </c>
      <c r="K480" s="71"/>
      <c r="T480" s="72"/>
      <c r="AB480" s="71"/>
      <c r="AJ480" s="71"/>
      <c r="AS480" s="71"/>
      <c r="BA480" s="71"/>
    </row>
    <row r="481" spans="2:53" s="70" customFormat="1" x14ac:dyDescent="0.25">
      <c r="B481" s="10"/>
      <c r="C481" s="71" t="s">
        <v>458</v>
      </c>
      <c r="D481" s="71" t="s">
        <v>459</v>
      </c>
      <c r="I481" s="71">
        <v>3772</v>
      </c>
      <c r="K481" s="71"/>
      <c r="T481" s="72"/>
      <c r="AB481" s="71"/>
      <c r="AJ481" s="71"/>
      <c r="AS481" s="71"/>
      <c r="BA481" s="71"/>
    </row>
    <row r="482" spans="2:53" s="70" customFormat="1" x14ac:dyDescent="0.25">
      <c r="B482" s="10"/>
      <c r="C482" s="71" t="s">
        <v>460</v>
      </c>
      <c r="D482" s="71" t="s">
        <v>461</v>
      </c>
      <c r="I482" s="71">
        <v>4006</v>
      </c>
      <c r="K482" s="71"/>
      <c r="T482" s="72"/>
      <c r="AB482" s="71"/>
      <c r="AJ482" s="71"/>
      <c r="AS482" s="71"/>
      <c r="BA482" s="71"/>
    </row>
    <row r="483" spans="2:53" s="70" customFormat="1" x14ac:dyDescent="0.25">
      <c r="B483" s="10"/>
      <c r="K483" s="71"/>
      <c r="T483" s="72"/>
      <c r="AB483" s="71"/>
      <c r="AJ483" s="71"/>
      <c r="AS483" s="71"/>
      <c r="BA483" s="71"/>
    </row>
    <row r="484" spans="2:53" x14ac:dyDescent="0.25">
      <c r="C484" s="24" t="s">
        <v>241</v>
      </c>
      <c r="D484" s="24" t="s">
        <v>1</v>
      </c>
      <c r="E484" s="24"/>
      <c r="F484" s="24"/>
      <c r="G484" s="24"/>
      <c r="H484" s="24"/>
      <c r="I484" s="25" t="s">
        <v>16</v>
      </c>
    </row>
    <row r="485" spans="2:53" x14ac:dyDescent="0.25">
      <c r="C485" s="24" t="s">
        <v>242</v>
      </c>
      <c r="D485" s="24" t="s">
        <v>243</v>
      </c>
      <c r="E485" s="24"/>
      <c r="F485" s="24"/>
      <c r="G485" s="24"/>
      <c r="H485" s="24"/>
      <c r="I485" s="25">
        <v>100</v>
      </c>
    </row>
    <row r="486" spans="2:53" x14ac:dyDescent="0.25">
      <c r="C486" s="24" t="s">
        <v>244</v>
      </c>
      <c r="D486" s="24" t="s">
        <v>245</v>
      </c>
      <c r="E486" s="24"/>
      <c r="F486" s="24"/>
      <c r="G486" s="24"/>
      <c r="H486" s="24"/>
      <c r="I486" s="25">
        <v>200</v>
      </c>
    </row>
    <row r="487" spans="2:53" x14ac:dyDescent="0.25">
      <c r="C487" s="24" t="s">
        <v>246</v>
      </c>
      <c r="D487" s="24" t="s">
        <v>247</v>
      </c>
      <c r="E487" s="24"/>
      <c r="F487" s="24"/>
      <c r="G487" s="24"/>
      <c r="H487" s="24"/>
      <c r="I487" s="25">
        <v>300</v>
      </c>
    </row>
    <row r="488" spans="2:53" x14ac:dyDescent="0.25">
      <c r="C488" s="24" t="s">
        <v>248</v>
      </c>
      <c r="D488" s="24" t="s">
        <v>249</v>
      </c>
      <c r="E488" s="24"/>
      <c r="F488" s="24"/>
      <c r="G488" s="24"/>
      <c r="H488" s="24"/>
      <c r="I488" s="25">
        <v>400</v>
      </c>
    </row>
    <row r="489" spans="2:53" x14ac:dyDescent="0.25">
      <c r="C489" s="24" t="s">
        <v>250</v>
      </c>
      <c r="D489" s="24" t="s">
        <v>251</v>
      </c>
      <c r="E489" s="24"/>
      <c r="F489" s="24"/>
      <c r="G489" s="24"/>
      <c r="H489" s="24"/>
      <c r="I489" s="25">
        <v>500</v>
      </c>
    </row>
    <row r="490" spans="2:53" x14ac:dyDescent="0.25">
      <c r="C490" s="24" t="s">
        <v>252</v>
      </c>
      <c r="D490" s="24" t="s">
        <v>253</v>
      </c>
      <c r="E490" s="24"/>
      <c r="F490" s="24"/>
      <c r="G490" s="24"/>
      <c r="H490" s="24"/>
      <c r="I490" s="25">
        <v>600</v>
      </c>
    </row>
    <row r="491" spans="2:53" x14ac:dyDescent="0.25">
      <c r="C491" s="24" t="s">
        <v>254</v>
      </c>
      <c r="D491" s="24" t="s">
        <v>255</v>
      </c>
      <c r="E491" s="24"/>
      <c r="F491" s="24"/>
      <c r="G491" s="24"/>
      <c r="H491" s="24"/>
      <c r="I491" s="25">
        <v>700</v>
      </c>
    </row>
    <row r="492" spans="2:53" x14ac:dyDescent="0.25">
      <c r="C492" s="74" t="s">
        <v>482</v>
      </c>
      <c r="D492" s="74" t="s">
        <v>483</v>
      </c>
      <c r="E492" s="74"/>
      <c r="F492" s="74"/>
      <c r="G492" s="74"/>
      <c r="H492" s="74"/>
      <c r="I492" s="76">
        <v>800</v>
      </c>
    </row>
    <row r="494" spans="2:53" x14ac:dyDescent="0.25">
      <c r="C494" s="42" t="s">
        <v>256</v>
      </c>
      <c r="D494" s="42" t="s">
        <v>1</v>
      </c>
      <c r="E494" s="42"/>
      <c r="F494" s="42"/>
      <c r="G494" s="42"/>
      <c r="H494" s="42"/>
      <c r="I494" s="43" t="s">
        <v>16</v>
      </c>
      <c r="J494" s="42"/>
    </row>
    <row r="495" spans="2:53" x14ac:dyDescent="0.25">
      <c r="B495" s="10">
        <v>1</v>
      </c>
      <c r="C495" s="42" t="s">
        <v>212</v>
      </c>
      <c r="D495" s="42" t="s">
        <v>257</v>
      </c>
      <c r="E495" s="42"/>
      <c r="F495" s="42"/>
      <c r="G495" s="42"/>
      <c r="H495" s="42"/>
      <c r="I495" s="43">
        <v>50</v>
      </c>
      <c r="J495" s="42"/>
    </row>
    <row r="496" spans="2:53" x14ac:dyDescent="0.25">
      <c r="B496" s="10">
        <v>2</v>
      </c>
      <c r="C496" s="42" t="s">
        <v>214</v>
      </c>
      <c r="D496" s="42" t="s">
        <v>258</v>
      </c>
      <c r="E496" s="42"/>
      <c r="F496" s="42"/>
      <c r="G496" s="42"/>
      <c r="H496" s="42"/>
      <c r="I496" s="43">
        <v>100</v>
      </c>
      <c r="J496" s="42"/>
    </row>
    <row r="497" spans="2:10" x14ac:dyDescent="0.25">
      <c r="B497" s="10">
        <v>3</v>
      </c>
      <c r="C497" s="42" t="s">
        <v>216</v>
      </c>
      <c r="D497" s="42" t="s">
        <v>259</v>
      </c>
      <c r="E497" s="42"/>
      <c r="F497" s="42"/>
      <c r="G497" s="42"/>
      <c r="H497" s="42"/>
      <c r="I497" s="43">
        <v>150</v>
      </c>
      <c r="J497" s="42"/>
    </row>
    <row r="498" spans="2:10" x14ac:dyDescent="0.25">
      <c r="B498" s="10">
        <v>4</v>
      </c>
      <c r="C498" s="42" t="s">
        <v>218</v>
      </c>
      <c r="D498" s="42" t="s">
        <v>260</v>
      </c>
      <c r="E498" s="42"/>
      <c r="F498" s="42"/>
      <c r="G498" s="42"/>
      <c r="H498" s="42"/>
      <c r="I498" s="43">
        <v>200</v>
      </c>
      <c r="J498" s="42"/>
    </row>
    <row r="499" spans="2:10" x14ac:dyDescent="0.25">
      <c r="B499" s="10">
        <v>5</v>
      </c>
      <c r="C499" s="42" t="s">
        <v>220</v>
      </c>
      <c r="D499" s="42" t="s">
        <v>261</v>
      </c>
      <c r="E499" s="42"/>
      <c r="F499" s="42"/>
      <c r="G499" s="42"/>
      <c r="H499" s="42"/>
      <c r="I499" s="43">
        <v>250</v>
      </c>
      <c r="J499" s="42"/>
    </row>
    <row r="500" spans="2:10" x14ac:dyDescent="0.25">
      <c r="B500" s="10">
        <v>6</v>
      </c>
      <c r="C500" s="42" t="s">
        <v>222</v>
      </c>
      <c r="D500" s="42" t="s">
        <v>262</v>
      </c>
      <c r="E500" s="42"/>
      <c r="F500" s="42"/>
      <c r="G500" s="42"/>
      <c r="H500" s="42"/>
      <c r="I500" s="43">
        <v>300</v>
      </c>
      <c r="J500" s="42"/>
    </row>
    <row r="501" spans="2:10" x14ac:dyDescent="0.25">
      <c r="B501" s="10">
        <v>7</v>
      </c>
      <c r="C501" s="42" t="s">
        <v>224</v>
      </c>
      <c r="D501" s="42" t="s">
        <v>263</v>
      </c>
      <c r="E501" s="42"/>
      <c r="F501" s="42"/>
      <c r="G501" s="42"/>
      <c r="H501" s="42"/>
      <c r="I501" s="43">
        <v>350</v>
      </c>
      <c r="J501" s="42"/>
    </row>
    <row r="502" spans="2:10" x14ac:dyDescent="0.25">
      <c r="B502" s="10">
        <v>8</v>
      </c>
      <c r="C502" s="42" t="s">
        <v>464</v>
      </c>
      <c r="D502" s="42" t="s">
        <v>463</v>
      </c>
      <c r="E502" s="42"/>
      <c r="F502" s="42"/>
      <c r="G502" s="42"/>
      <c r="H502" s="42"/>
      <c r="I502" s="43">
        <v>400</v>
      </c>
      <c r="J502" s="42"/>
    </row>
    <row r="503" spans="2:10" x14ac:dyDescent="0.25">
      <c r="C503" s="42"/>
      <c r="D503" s="42"/>
      <c r="E503" s="42"/>
      <c r="F503" s="42"/>
      <c r="G503" s="42"/>
      <c r="H503" s="42"/>
      <c r="I503" s="42"/>
      <c r="J503" s="42"/>
    </row>
    <row r="504" spans="2:10" x14ac:dyDescent="0.25">
      <c r="C504" s="42" t="s">
        <v>264</v>
      </c>
      <c r="D504" s="42" t="s">
        <v>1</v>
      </c>
      <c r="E504" s="42"/>
      <c r="F504" s="42"/>
      <c r="G504" s="42"/>
      <c r="H504" s="42"/>
      <c r="I504" s="43" t="s">
        <v>16</v>
      </c>
      <c r="J504" s="42"/>
    </row>
    <row r="505" spans="2:10" x14ac:dyDescent="0.25">
      <c r="B505" s="10">
        <v>1</v>
      </c>
      <c r="C505" s="42" t="s">
        <v>265</v>
      </c>
      <c r="D505" s="42" t="s">
        <v>375</v>
      </c>
      <c r="E505" s="42"/>
      <c r="F505" s="42"/>
      <c r="G505" s="42"/>
      <c r="H505" s="42"/>
      <c r="I505" s="43">
        <v>180</v>
      </c>
      <c r="J505" s="42"/>
    </row>
    <row r="506" spans="2:10" x14ac:dyDescent="0.25">
      <c r="C506" s="42"/>
      <c r="D506" s="42" t="s">
        <v>267</v>
      </c>
      <c r="E506" s="42"/>
      <c r="F506" s="42"/>
      <c r="G506" s="42"/>
      <c r="H506" s="42"/>
      <c r="I506" s="42"/>
      <c r="J506" s="42"/>
    </row>
    <row r="507" spans="2:10" x14ac:dyDescent="0.25">
      <c r="C507" s="42"/>
      <c r="D507" s="42"/>
      <c r="E507" s="42"/>
      <c r="F507" s="42"/>
      <c r="G507" s="42"/>
      <c r="H507" s="42"/>
      <c r="I507" s="42"/>
      <c r="J507" s="42"/>
    </row>
    <row r="508" spans="2:10" x14ac:dyDescent="0.25">
      <c r="B508" s="10">
        <v>2</v>
      </c>
      <c r="C508" s="42" t="s">
        <v>268</v>
      </c>
      <c r="D508" s="42" t="s">
        <v>375</v>
      </c>
      <c r="E508" s="42"/>
      <c r="F508" s="42"/>
      <c r="G508" s="42"/>
      <c r="H508" s="42"/>
      <c r="I508" s="43">
        <v>328</v>
      </c>
      <c r="J508" s="42"/>
    </row>
    <row r="509" spans="2:10" x14ac:dyDescent="0.25">
      <c r="C509" s="42"/>
      <c r="D509" s="42" t="s">
        <v>269</v>
      </c>
      <c r="E509" s="42"/>
      <c r="F509" s="42"/>
      <c r="G509" s="42"/>
      <c r="H509" s="42"/>
      <c r="I509" s="42"/>
      <c r="J509" s="42"/>
    </row>
    <row r="510" spans="2:10" x14ac:dyDescent="0.25">
      <c r="C510" s="42"/>
      <c r="D510" s="42"/>
      <c r="E510" s="42"/>
      <c r="F510" s="42"/>
      <c r="G510" s="42"/>
      <c r="H510" s="42"/>
      <c r="I510" s="42"/>
      <c r="J510" s="42"/>
    </row>
    <row r="511" spans="2:10" x14ac:dyDescent="0.25">
      <c r="B511" s="10">
        <v>3</v>
      </c>
      <c r="C511" s="42" t="s">
        <v>270</v>
      </c>
      <c r="D511" s="42" t="s">
        <v>266</v>
      </c>
      <c r="E511" s="42"/>
      <c r="F511" s="42"/>
      <c r="G511" s="42"/>
      <c r="H511" s="42"/>
      <c r="I511" s="43">
        <v>437</v>
      </c>
      <c r="J511" s="42"/>
    </row>
    <row r="512" spans="2:10" x14ac:dyDescent="0.25">
      <c r="C512" s="42"/>
      <c r="D512" s="42" t="s">
        <v>271</v>
      </c>
      <c r="E512" s="42"/>
      <c r="F512" s="42"/>
      <c r="G512" s="42"/>
      <c r="H512" s="42"/>
      <c r="I512" s="42"/>
      <c r="J512" s="42"/>
    </row>
    <row r="513" spans="2:53" x14ac:dyDescent="0.25">
      <c r="C513" s="42"/>
      <c r="D513" s="42"/>
      <c r="E513" s="42"/>
      <c r="F513" s="42"/>
      <c r="G513" s="42"/>
      <c r="H513" s="42"/>
      <c r="I513" s="42"/>
      <c r="J513" s="42"/>
    </row>
    <row r="514" spans="2:53" x14ac:dyDescent="0.25">
      <c r="B514" s="10">
        <v>4</v>
      </c>
      <c r="C514" s="42" t="s">
        <v>272</v>
      </c>
      <c r="D514" s="42" t="s">
        <v>266</v>
      </c>
      <c r="E514" s="42"/>
      <c r="F514" s="42"/>
      <c r="G514" s="42"/>
      <c r="H514" s="42"/>
      <c r="I514" s="43">
        <v>610</v>
      </c>
      <c r="J514" s="42"/>
    </row>
    <row r="515" spans="2:53" x14ac:dyDescent="0.25">
      <c r="C515" s="42"/>
      <c r="D515" s="42" t="s">
        <v>273</v>
      </c>
      <c r="E515" s="42"/>
      <c r="F515" s="42"/>
      <c r="G515" s="42"/>
      <c r="H515" s="42"/>
      <c r="I515" s="42"/>
      <c r="J515" s="42"/>
    </row>
    <row r="516" spans="2:53" x14ac:dyDescent="0.25">
      <c r="C516" s="42"/>
      <c r="D516" s="42"/>
      <c r="E516" s="42"/>
      <c r="F516" s="42"/>
      <c r="G516" s="42"/>
      <c r="H516" s="42"/>
      <c r="I516" s="42"/>
      <c r="J516" s="42"/>
    </row>
    <row r="517" spans="2:53" x14ac:dyDescent="0.25">
      <c r="B517" s="10">
        <v>5</v>
      </c>
      <c r="C517" s="42" t="s">
        <v>274</v>
      </c>
      <c r="D517" s="42" t="s">
        <v>266</v>
      </c>
      <c r="E517" s="42"/>
      <c r="F517" s="42"/>
      <c r="G517" s="42"/>
      <c r="H517" s="42"/>
      <c r="I517" s="43">
        <v>755</v>
      </c>
      <c r="J517" s="42"/>
    </row>
    <row r="518" spans="2:53" x14ac:dyDescent="0.25">
      <c r="C518" s="42"/>
      <c r="D518" s="42" t="s">
        <v>275</v>
      </c>
      <c r="E518" s="42"/>
      <c r="F518" s="42"/>
      <c r="G518" s="42"/>
      <c r="H518" s="42"/>
      <c r="I518" s="42"/>
      <c r="J518" s="42"/>
    </row>
    <row r="519" spans="2:53" s="74" customFormat="1" x14ac:dyDescent="0.25">
      <c r="B519" s="10"/>
      <c r="C519" s="42"/>
      <c r="D519" s="42"/>
      <c r="E519" s="42"/>
      <c r="F519" s="42"/>
      <c r="G519" s="42"/>
      <c r="H519" s="42"/>
      <c r="I519" s="42"/>
      <c r="J519" s="42"/>
      <c r="K519" s="76"/>
      <c r="T519" s="77"/>
      <c r="AB519" s="76"/>
      <c r="AJ519" s="76"/>
      <c r="AS519" s="76"/>
      <c r="BA519" s="76"/>
    </row>
    <row r="520" spans="2:53" s="70" customFormat="1" x14ac:dyDescent="0.25">
      <c r="B520" s="10">
        <v>6</v>
      </c>
      <c r="C520" s="74" t="s">
        <v>465</v>
      </c>
      <c r="D520" s="74" t="s">
        <v>266</v>
      </c>
      <c r="E520" s="74"/>
      <c r="F520" s="74"/>
      <c r="G520" s="74"/>
      <c r="H520" s="74"/>
      <c r="I520" s="74"/>
      <c r="J520" s="42"/>
      <c r="K520" s="71"/>
      <c r="T520" s="72"/>
      <c r="AB520" s="71"/>
      <c r="AJ520" s="71"/>
      <c r="AS520" s="71"/>
      <c r="BA520" s="71"/>
    </row>
    <row r="521" spans="2:53" s="70" customFormat="1" x14ac:dyDescent="0.25">
      <c r="B521" s="10"/>
      <c r="C521" s="74"/>
      <c r="D521" s="74" t="s">
        <v>466</v>
      </c>
      <c r="E521" s="74"/>
      <c r="F521" s="74"/>
      <c r="G521" s="74"/>
      <c r="H521" s="74"/>
      <c r="I521" s="74"/>
      <c r="J521" s="42"/>
      <c r="K521" s="71"/>
      <c r="T521" s="72"/>
      <c r="AB521" s="71"/>
      <c r="AJ521" s="71"/>
      <c r="AS521" s="71"/>
      <c r="BA521" s="71"/>
    </row>
    <row r="522" spans="2:53" s="70" customFormat="1" x14ac:dyDescent="0.25">
      <c r="B522" s="10"/>
      <c r="C522" s="74"/>
      <c r="D522" s="74"/>
      <c r="E522" s="74"/>
      <c r="F522" s="74"/>
      <c r="G522" s="74"/>
      <c r="H522" s="74"/>
      <c r="I522" s="74"/>
      <c r="J522" s="42"/>
      <c r="K522" s="71"/>
      <c r="T522" s="72"/>
      <c r="AB522" s="71"/>
      <c r="AJ522" s="71"/>
      <c r="AS522" s="71"/>
      <c r="BA522" s="71"/>
    </row>
    <row r="523" spans="2:53" s="70" customFormat="1" x14ac:dyDescent="0.25">
      <c r="B523" s="10">
        <v>7</v>
      </c>
      <c r="C523" s="74" t="s">
        <v>467</v>
      </c>
      <c r="D523" s="74" t="s">
        <v>266</v>
      </c>
      <c r="E523" s="74"/>
      <c r="F523" s="74"/>
      <c r="G523" s="74"/>
      <c r="H523" s="74"/>
      <c r="I523" s="74"/>
      <c r="J523" s="42"/>
      <c r="K523" s="71"/>
      <c r="T523" s="72"/>
      <c r="AB523" s="71"/>
      <c r="AJ523" s="71"/>
      <c r="AS523" s="71"/>
      <c r="BA523" s="71"/>
    </row>
    <row r="524" spans="2:53" s="70" customFormat="1" x14ac:dyDescent="0.25">
      <c r="B524" s="10"/>
      <c r="C524" s="74"/>
      <c r="D524" s="74" t="s">
        <v>468</v>
      </c>
      <c r="E524" s="74"/>
      <c r="F524" s="74"/>
      <c r="G524" s="74"/>
      <c r="H524" s="74"/>
      <c r="I524" s="74"/>
      <c r="J524" s="42"/>
      <c r="K524" s="71"/>
      <c r="T524" s="72"/>
      <c r="AB524" s="71"/>
      <c r="AJ524" s="71"/>
      <c r="AS524" s="71"/>
      <c r="BA524" s="71"/>
    </row>
    <row r="525" spans="2:53" s="70" customFormat="1" x14ac:dyDescent="0.25">
      <c r="B525" s="10"/>
      <c r="C525" s="74"/>
      <c r="D525" s="74"/>
      <c r="E525" s="74"/>
      <c r="F525" s="74"/>
      <c r="G525" s="74"/>
      <c r="H525" s="74"/>
      <c r="I525" s="74"/>
      <c r="J525" s="42"/>
      <c r="K525" s="71"/>
      <c r="T525" s="72"/>
      <c r="AB525" s="71"/>
      <c r="AJ525" s="71"/>
      <c r="AS525" s="71"/>
      <c r="BA525" s="71"/>
    </row>
    <row r="526" spans="2:53" s="70" customFormat="1" x14ac:dyDescent="0.25">
      <c r="B526" s="10">
        <v>8</v>
      </c>
      <c r="C526" s="74" t="s">
        <v>469</v>
      </c>
      <c r="D526" s="74" t="s">
        <v>266</v>
      </c>
      <c r="E526" s="74"/>
      <c r="F526" s="74"/>
      <c r="G526" s="74"/>
      <c r="H526" s="74"/>
      <c r="I526" s="74"/>
      <c r="J526" s="42"/>
      <c r="K526" s="71"/>
      <c r="T526" s="72"/>
      <c r="AB526" s="71"/>
      <c r="AJ526" s="71"/>
      <c r="AS526" s="71"/>
      <c r="BA526" s="71"/>
    </row>
    <row r="527" spans="2:53" s="70" customFormat="1" x14ac:dyDescent="0.25">
      <c r="B527" s="10"/>
      <c r="C527" s="74"/>
      <c r="D527" s="74" t="s">
        <v>470</v>
      </c>
      <c r="E527" s="74"/>
      <c r="F527" s="74"/>
      <c r="G527" s="74"/>
      <c r="H527" s="74"/>
      <c r="I527" s="74"/>
      <c r="J527" s="42"/>
      <c r="K527" s="71"/>
      <c r="T527" s="72"/>
      <c r="AB527" s="71"/>
      <c r="AJ527" s="71"/>
      <c r="AS527" s="71"/>
      <c r="BA527" s="71"/>
    </row>
    <row r="528" spans="2:53" x14ac:dyDescent="0.25">
      <c r="C528" s="42"/>
      <c r="D528" s="42"/>
      <c r="E528" s="42"/>
      <c r="F528" s="42"/>
      <c r="G528" s="42"/>
      <c r="H528" s="42"/>
      <c r="I528" s="42"/>
      <c r="J528" s="42"/>
    </row>
    <row r="529" spans="3:10" x14ac:dyDescent="0.25">
      <c r="C529" s="42" t="s">
        <v>276</v>
      </c>
      <c r="D529" s="42" t="s">
        <v>1</v>
      </c>
      <c r="E529" s="42"/>
      <c r="F529" s="42"/>
      <c r="G529" s="42"/>
      <c r="H529" s="42"/>
      <c r="I529" s="43" t="s">
        <v>16</v>
      </c>
      <c r="J529" s="42"/>
    </row>
    <row r="530" spans="3:10" x14ac:dyDescent="0.25">
      <c r="C530" s="42" t="s">
        <v>277</v>
      </c>
      <c r="D530" s="42" t="s">
        <v>278</v>
      </c>
      <c r="E530" s="42"/>
      <c r="F530" s="42"/>
      <c r="G530" s="42"/>
      <c r="H530" s="42"/>
      <c r="I530" s="43">
        <v>600</v>
      </c>
      <c r="J530" s="42"/>
    </row>
    <row r="531" spans="3:10" x14ac:dyDescent="0.25">
      <c r="C531" s="42"/>
      <c r="D531" s="42"/>
      <c r="E531" s="42"/>
      <c r="F531" s="42"/>
      <c r="G531" s="42"/>
      <c r="H531" s="42"/>
      <c r="I531" s="42"/>
      <c r="J531" s="42"/>
    </row>
    <row r="532" spans="3:10" x14ac:dyDescent="0.25">
      <c r="C532" s="42" t="s">
        <v>279</v>
      </c>
      <c r="D532" s="42" t="s">
        <v>280</v>
      </c>
      <c r="E532" s="42"/>
      <c r="F532" s="42"/>
      <c r="G532" s="42"/>
      <c r="H532" s="42"/>
      <c r="I532" s="43">
        <v>300</v>
      </c>
      <c r="J532" s="42"/>
    </row>
    <row r="533" spans="3:10" x14ac:dyDescent="0.25">
      <c r="C533" s="42"/>
      <c r="D533" s="42"/>
      <c r="E533" s="42"/>
      <c r="F533" s="42"/>
      <c r="G533" s="42"/>
      <c r="H533" s="42"/>
      <c r="I533" s="42"/>
      <c r="J533" s="42"/>
    </row>
    <row r="535" spans="3:10" x14ac:dyDescent="0.25">
      <c r="C535" s="26" t="s">
        <v>281</v>
      </c>
      <c r="D535" s="26" t="s">
        <v>1</v>
      </c>
      <c r="E535" s="26"/>
      <c r="F535" s="26"/>
      <c r="G535" s="26"/>
      <c r="H535" s="26"/>
      <c r="I535" s="27" t="s">
        <v>16</v>
      </c>
    </row>
    <row r="536" spans="3:10" x14ac:dyDescent="0.25">
      <c r="C536" s="26" t="s">
        <v>282</v>
      </c>
      <c r="D536" s="26" t="s">
        <v>357</v>
      </c>
      <c r="E536" s="26"/>
      <c r="F536" s="26"/>
      <c r="G536" s="26"/>
      <c r="H536" s="26"/>
      <c r="I536" s="27">
        <v>1898</v>
      </c>
    </row>
    <row r="537" spans="3:10" x14ac:dyDescent="0.25">
      <c r="C537" s="26" t="s">
        <v>283</v>
      </c>
      <c r="D537" s="26" t="s">
        <v>356</v>
      </c>
      <c r="E537" s="26"/>
      <c r="F537" s="26"/>
      <c r="G537" s="26"/>
      <c r="H537" s="26"/>
      <c r="I537" s="27">
        <v>1875</v>
      </c>
    </row>
    <row r="538" spans="3:10" x14ac:dyDescent="0.25">
      <c r="C538" s="26" t="s">
        <v>284</v>
      </c>
      <c r="D538" s="26" t="s">
        <v>358</v>
      </c>
      <c r="E538" s="26"/>
      <c r="F538" s="26"/>
      <c r="G538" s="26"/>
      <c r="H538" s="26"/>
      <c r="I538" s="27">
        <v>1898</v>
      </c>
    </row>
    <row r="539" spans="3:10" x14ac:dyDescent="0.25">
      <c r="C539" s="26" t="s">
        <v>285</v>
      </c>
      <c r="D539" s="26" t="s">
        <v>360</v>
      </c>
      <c r="E539" s="26"/>
      <c r="F539" s="26"/>
      <c r="G539" s="26"/>
      <c r="H539" s="26"/>
      <c r="I539" s="27">
        <v>1890</v>
      </c>
    </row>
    <row r="540" spans="3:10" x14ac:dyDescent="0.25">
      <c r="C540" s="26" t="s">
        <v>286</v>
      </c>
      <c r="D540" s="26" t="s">
        <v>359</v>
      </c>
      <c r="E540" s="26"/>
      <c r="F540" s="26"/>
      <c r="G540" s="26"/>
      <c r="H540" s="26"/>
      <c r="I540" s="27">
        <v>1980</v>
      </c>
    </row>
    <row r="541" spans="3:10" x14ac:dyDescent="0.25">
      <c r="C541" s="26" t="s">
        <v>287</v>
      </c>
      <c r="D541" s="26" t="s">
        <v>361</v>
      </c>
      <c r="E541" s="26"/>
      <c r="F541" s="26"/>
      <c r="G541" s="26"/>
      <c r="H541" s="26"/>
      <c r="I541" s="27">
        <v>1898</v>
      </c>
    </row>
    <row r="542" spans="3:10" x14ac:dyDescent="0.25">
      <c r="C542" s="26" t="s">
        <v>288</v>
      </c>
      <c r="D542" s="26" t="s">
        <v>362</v>
      </c>
      <c r="E542" s="26"/>
      <c r="F542" s="26"/>
      <c r="G542" s="26"/>
      <c r="H542" s="26"/>
      <c r="I542" s="27">
        <v>2018</v>
      </c>
    </row>
    <row r="543" spans="3:10" x14ac:dyDescent="0.25">
      <c r="C543" s="26" t="s">
        <v>289</v>
      </c>
      <c r="D543" s="26" t="s">
        <v>363</v>
      </c>
      <c r="E543" s="26"/>
      <c r="F543" s="26"/>
      <c r="G543" s="26"/>
      <c r="H543" s="26"/>
      <c r="I543" s="27">
        <v>1898</v>
      </c>
    </row>
    <row r="544" spans="3:10" x14ac:dyDescent="0.25">
      <c r="C544" s="26" t="s">
        <v>290</v>
      </c>
      <c r="D544" s="26" t="s">
        <v>364</v>
      </c>
      <c r="E544" s="26"/>
      <c r="F544" s="26"/>
      <c r="G544" s="26"/>
      <c r="H544" s="26"/>
      <c r="I544" s="27">
        <v>2415</v>
      </c>
    </row>
    <row r="545" spans="3:19" x14ac:dyDescent="0.25">
      <c r="C545" s="26" t="s">
        <v>291</v>
      </c>
      <c r="D545" s="26" t="s">
        <v>365</v>
      </c>
      <c r="E545" s="26"/>
      <c r="F545" s="26"/>
      <c r="G545" s="26"/>
      <c r="H545" s="26"/>
      <c r="I545" s="27">
        <v>1980</v>
      </c>
    </row>
    <row r="546" spans="3:19" x14ac:dyDescent="0.25">
      <c r="C546" s="26" t="s">
        <v>292</v>
      </c>
      <c r="D546" s="26" t="s">
        <v>366</v>
      </c>
      <c r="E546" s="26"/>
      <c r="F546" s="26"/>
      <c r="G546" s="26"/>
      <c r="H546" s="26"/>
      <c r="I546" s="27">
        <v>2415</v>
      </c>
    </row>
    <row r="547" spans="3:19" x14ac:dyDescent="0.25">
      <c r="C547" s="26" t="s">
        <v>293</v>
      </c>
      <c r="D547" s="26" t="s">
        <v>367</v>
      </c>
      <c r="E547" s="26"/>
      <c r="F547" s="26"/>
      <c r="G547" s="26"/>
      <c r="H547" s="26"/>
      <c r="I547" s="27">
        <v>2018</v>
      </c>
    </row>
    <row r="548" spans="3:19" x14ac:dyDescent="0.25">
      <c r="C548" s="26" t="s">
        <v>294</v>
      </c>
      <c r="D548" s="26" t="s">
        <v>368</v>
      </c>
      <c r="E548" s="26"/>
      <c r="F548" s="26"/>
      <c r="G548" s="26"/>
      <c r="H548" s="26"/>
      <c r="I548" s="27">
        <v>2513</v>
      </c>
    </row>
    <row r="549" spans="3:19" x14ac:dyDescent="0.25">
      <c r="C549" s="26" t="s">
        <v>295</v>
      </c>
      <c r="D549" s="26" t="s">
        <v>369</v>
      </c>
      <c r="E549" s="26"/>
      <c r="F549" s="26"/>
      <c r="G549" s="26"/>
      <c r="H549" s="26"/>
      <c r="I549" s="27">
        <v>2018</v>
      </c>
    </row>
    <row r="550" spans="3:19" x14ac:dyDescent="0.25">
      <c r="C550" s="26" t="s">
        <v>296</v>
      </c>
      <c r="D550" s="26" t="s">
        <v>370</v>
      </c>
      <c r="E550" s="26"/>
      <c r="F550" s="26"/>
      <c r="G550" s="26"/>
      <c r="H550" s="26"/>
      <c r="I550" s="27">
        <v>2835</v>
      </c>
    </row>
    <row r="551" spans="3:19" x14ac:dyDescent="0.25">
      <c r="C551" s="26" t="s">
        <v>297</v>
      </c>
      <c r="D551" s="26" t="s">
        <v>371</v>
      </c>
      <c r="E551" s="26"/>
      <c r="F551" s="26"/>
      <c r="G551" s="26"/>
      <c r="H551" s="26"/>
      <c r="I551" s="27">
        <v>2415</v>
      </c>
    </row>
    <row r="552" spans="3:19" x14ac:dyDescent="0.25">
      <c r="C552" s="26" t="s">
        <v>298</v>
      </c>
      <c r="D552" s="26" t="s">
        <v>372</v>
      </c>
      <c r="E552" s="26"/>
      <c r="F552" s="26"/>
      <c r="G552" s="26"/>
      <c r="H552" s="26"/>
      <c r="I552" s="27">
        <v>4088</v>
      </c>
    </row>
    <row r="553" spans="3:19" x14ac:dyDescent="0.25">
      <c r="C553" s="26" t="s">
        <v>299</v>
      </c>
      <c r="D553" s="26" t="s">
        <v>373</v>
      </c>
      <c r="E553" s="26"/>
      <c r="F553" s="26"/>
      <c r="G553" s="26"/>
      <c r="H553" s="26"/>
      <c r="I553" s="27">
        <v>2415</v>
      </c>
    </row>
    <row r="554" spans="3:19" x14ac:dyDescent="0.25">
      <c r="C554" s="26" t="s">
        <v>300</v>
      </c>
      <c r="D554" s="26" t="s">
        <v>374</v>
      </c>
      <c r="E554" s="26"/>
      <c r="F554" s="26"/>
      <c r="G554" s="26"/>
      <c r="H554" s="26"/>
      <c r="I554" s="27">
        <v>2513</v>
      </c>
    </row>
    <row r="555" spans="3:19" x14ac:dyDescent="0.25">
      <c r="C555" s="26" t="s">
        <v>301</v>
      </c>
      <c r="D555" s="26" t="s">
        <v>501</v>
      </c>
      <c r="E555" s="26"/>
      <c r="F555" s="26"/>
      <c r="G555" s="26"/>
      <c r="H555" s="26"/>
      <c r="I555" s="27">
        <v>3323</v>
      </c>
    </row>
    <row r="558" spans="3:19" x14ac:dyDescent="0.25">
      <c r="C558" s="31" t="s">
        <v>302</v>
      </c>
      <c r="D558" s="28" t="s">
        <v>1</v>
      </c>
      <c r="E558" s="28"/>
      <c r="F558" s="28"/>
      <c r="G558" s="28"/>
      <c r="H558" s="28"/>
      <c r="I558" s="30" t="s">
        <v>303</v>
      </c>
    </row>
    <row r="559" spans="3:19" x14ac:dyDescent="0.25">
      <c r="C559" s="31">
        <v>22711</v>
      </c>
      <c r="D559" s="28" t="s">
        <v>383</v>
      </c>
      <c r="E559" s="28"/>
      <c r="F559" s="28"/>
      <c r="G559" s="28"/>
      <c r="H559" s="28"/>
      <c r="I559" s="30">
        <v>8</v>
      </c>
      <c r="K559" s="74" t="s">
        <v>379</v>
      </c>
      <c r="S559" s="78">
        <v>22711</v>
      </c>
    </row>
    <row r="560" spans="3:19" x14ac:dyDescent="0.25">
      <c r="C560" s="31" t="s">
        <v>304</v>
      </c>
      <c r="D560" s="28" t="s">
        <v>384</v>
      </c>
      <c r="E560" s="28"/>
      <c r="F560" s="28"/>
      <c r="G560" s="28"/>
      <c r="H560" s="28"/>
      <c r="I560" s="30" t="s">
        <v>471</v>
      </c>
      <c r="K560" s="74" t="s">
        <v>380</v>
      </c>
      <c r="S560" s="78" t="s">
        <v>304</v>
      </c>
    </row>
    <row r="561" spans="3:19" x14ac:dyDescent="0.25">
      <c r="C561">
        <v>5</v>
      </c>
      <c r="D561" s="74" t="s">
        <v>485</v>
      </c>
      <c r="I561" s="76" t="s">
        <v>471</v>
      </c>
      <c r="K561" s="28" t="s">
        <v>499</v>
      </c>
      <c r="S561">
        <v>5</v>
      </c>
    </row>
    <row r="562" spans="3:19" x14ac:dyDescent="0.25">
      <c r="K562" s="28"/>
      <c r="M562">
        <f>VLOOKUP('Quote Sheet'!D33,Lookup!K559:S561,9,FALSE)</f>
        <v>22711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Quote Sheet</vt:lpstr>
      <vt:lpstr>Lookup</vt:lpstr>
      <vt:lpstr>Sheet3</vt:lpstr>
      <vt:lpstr>'Quote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Daniel Taylor</cp:lastModifiedBy>
  <cp:lastPrinted>2014-04-17T13:28:43Z</cp:lastPrinted>
  <dcterms:created xsi:type="dcterms:W3CDTF">2012-08-13T16:24:13Z</dcterms:created>
  <dcterms:modified xsi:type="dcterms:W3CDTF">2015-05-06T13:02:05Z</dcterms:modified>
</cp:coreProperties>
</file>