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90" yWindow="210" windowWidth="14565" windowHeight="11610" activeTab="7"/>
  </bookViews>
  <sheets>
    <sheet name="layout" sheetId="1" r:id="rId1"/>
    <sheet name="K&amp;B branch size" sheetId="2" r:id="rId2"/>
    <sheet name="Air Change Calculator" sheetId="3" r:id="rId3"/>
    <sheet name="Sheet1" sheetId="4" r:id="rId4"/>
    <sheet name="Sheet3" sheetId="6" r:id="rId5"/>
    <sheet name="Sheet2" sheetId="7" r:id="rId6"/>
    <sheet name="Sheet4" sheetId="8" r:id="rId7"/>
    <sheet name="Sheet5" sheetId="9" r:id="rId8"/>
  </sheets>
  <definedNames>
    <definedName name="solver_adj" localSheetId="0" hidden="1">layout!$C$2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layout!$E$8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2800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Q12" i="9" l="1"/>
  <c r="F10" i="9" l="1"/>
  <c r="L4" i="9" l="1"/>
  <c r="M4" i="9"/>
  <c r="O4" i="9"/>
  <c r="L5" i="9"/>
  <c r="M5" i="9" s="1"/>
  <c r="O5" i="9"/>
  <c r="L6" i="9"/>
  <c r="M6" i="9"/>
  <c r="O6" i="9"/>
  <c r="L7" i="9"/>
  <c r="M7" i="9"/>
  <c r="O7" i="9"/>
  <c r="L8" i="9"/>
  <c r="M8" i="9"/>
  <c r="O8" i="9"/>
  <c r="L9" i="9"/>
  <c r="M9" i="9" s="1"/>
  <c r="O9" i="9"/>
  <c r="L10" i="9"/>
  <c r="M10" i="9" s="1"/>
  <c r="O3" i="9"/>
  <c r="M3" i="9"/>
  <c r="L3" i="9"/>
  <c r="K5" i="9"/>
  <c r="K6" i="9"/>
  <c r="K7" i="9"/>
  <c r="K8" i="9" s="1"/>
  <c r="K9" i="9" s="1"/>
  <c r="K10" i="9" s="1"/>
  <c r="K11" i="9" s="1"/>
  <c r="O11" i="9" s="1"/>
  <c r="K4" i="9"/>
  <c r="K3" i="9"/>
  <c r="L11" i="9" l="1"/>
  <c r="M11" i="9" s="1"/>
  <c r="O10" i="9"/>
  <c r="E24" i="9"/>
  <c r="C21" i="9"/>
  <c r="D21" i="9" s="1"/>
  <c r="E21" i="9" s="1"/>
  <c r="C20" i="9"/>
  <c r="D20" i="9" s="1"/>
  <c r="E20" i="9" s="1"/>
  <c r="C19" i="9"/>
  <c r="D19" i="9" s="1"/>
  <c r="E19" i="9" s="1"/>
  <c r="C18" i="9"/>
  <c r="D18" i="9" s="1"/>
  <c r="E18" i="9" s="1"/>
  <c r="E11" i="9"/>
  <c r="C4" i="9"/>
  <c r="D4" i="9" s="1"/>
  <c r="E4" i="9" s="1"/>
  <c r="C5" i="9"/>
  <c r="D5" i="9" s="1"/>
  <c r="E5" i="9" s="1"/>
  <c r="C6" i="9"/>
  <c r="D6" i="9" s="1"/>
  <c r="E6" i="9" s="1"/>
  <c r="C7" i="9"/>
  <c r="D7" i="9" s="1"/>
  <c r="C8" i="9"/>
  <c r="D8" i="9"/>
  <c r="C3" i="9"/>
  <c r="D3" i="9" s="1"/>
  <c r="E3" i="9" s="1"/>
  <c r="B32" i="8"/>
  <c r="C32" i="8" s="1"/>
  <c r="B31" i="8"/>
  <c r="C31" i="8" s="1"/>
  <c r="C33" i="8" s="1"/>
  <c r="I28" i="8"/>
  <c r="B28" i="8"/>
  <c r="C28" i="8" s="1"/>
  <c r="I27" i="8"/>
  <c r="H27" i="8"/>
  <c r="B27" i="8"/>
  <c r="C27" i="8" s="1"/>
  <c r="B23" i="8"/>
  <c r="C23" i="8" s="1"/>
  <c r="C22" i="8"/>
  <c r="B22" i="8"/>
  <c r="B21" i="8"/>
  <c r="C21" i="8" s="1"/>
  <c r="B20" i="8"/>
  <c r="C20" i="8" s="1"/>
  <c r="B19" i="8"/>
  <c r="C19" i="8" s="1"/>
  <c r="C18" i="8"/>
  <c r="B18" i="8"/>
  <c r="B17" i="8"/>
  <c r="C17" i="8" s="1"/>
  <c r="B16" i="8"/>
  <c r="C16" i="8" s="1"/>
  <c r="B15" i="8"/>
  <c r="C15" i="8" s="1"/>
  <c r="C14" i="8"/>
  <c r="B14" i="8"/>
  <c r="B13" i="8"/>
  <c r="C13" i="8" s="1"/>
  <c r="B12" i="8"/>
  <c r="C12" i="8" s="1"/>
  <c r="C11" i="8"/>
  <c r="B11" i="8"/>
  <c r="C10" i="8"/>
  <c r="B10" i="8"/>
  <c r="B9" i="8"/>
  <c r="C9" i="8" s="1"/>
  <c r="B8" i="8"/>
  <c r="C8" i="8" s="1"/>
  <c r="B7" i="8"/>
  <c r="C7" i="8" s="1"/>
  <c r="N6" i="8"/>
  <c r="B6" i="8"/>
  <c r="C6" i="8" s="1"/>
  <c r="B5" i="8"/>
  <c r="C5" i="8" s="1"/>
  <c r="B4" i="8"/>
  <c r="C4" i="8" s="1"/>
  <c r="B3" i="8"/>
  <c r="C3" i="8" s="1"/>
  <c r="C2" i="8"/>
  <c r="B2" i="8"/>
  <c r="C1" i="8"/>
  <c r="B1" i="8"/>
  <c r="E25" i="9" l="1"/>
  <c r="E12" i="9"/>
  <c r="E21" i="8"/>
  <c r="I21" i="8" s="1"/>
  <c r="D15" i="8"/>
  <c r="D17" i="8"/>
  <c r="D18" i="8"/>
  <c r="D20" i="8"/>
  <c r="D23" i="8"/>
  <c r="C29" i="8"/>
  <c r="D14" i="8"/>
  <c r="D21" i="8"/>
  <c r="G33" i="8"/>
  <c r="D33" i="8"/>
  <c r="E33" i="8" s="1"/>
  <c r="D16" i="8"/>
  <c r="D19" i="8"/>
  <c r="D22" i="8"/>
  <c r="D6" i="8"/>
  <c r="D7" i="8"/>
  <c r="E16" i="8"/>
  <c r="D1" i="8"/>
  <c r="E1" i="8" s="1"/>
  <c r="E6" i="8"/>
  <c r="D10" i="8"/>
  <c r="E11" i="8"/>
  <c r="E19" i="8"/>
  <c r="E23" i="8"/>
  <c r="D4" i="8"/>
  <c r="E5" i="8"/>
  <c r="D9" i="8"/>
  <c r="E10" i="8"/>
  <c r="D13" i="8"/>
  <c r="E14" i="8"/>
  <c r="E18" i="8"/>
  <c r="E22" i="8"/>
  <c r="D2" i="8"/>
  <c r="E3" i="8"/>
  <c r="E8" i="8"/>
  <c r="D11" i="8"/>
  <c r="E12" i="8"/>
  <c r="E20" i="8"/>
  <c r="E2" i="8"/>
  <c r="D5" i="8"/>
  <c r="E7" i="8"/>
  <c r="E15" i="8"/>
  <c r="D3" i="8"/>
  <c r="E4" i="8"/>
  <c r="D8" i="8"/>
  <c r="E9" i="8"/>
  <c r="D12" i="8"/>
  <c r="E13" i="8"/>
  <c r="E17" i="8"/>
  <c r="B16" i="7"/>
  <c r="C16" i="7" s="1"/>
  <c r="B17" i="7"/>
  <c r="C17" i="7" s="1"/>
  <c r="B18" i="7"/>
  <c r="C18" i="7" s="1"/>
  <c r="B19" i="7"/>
  <c r="C19" i="7" s="1"/>
  <c r="B20" i="7"/>
  <c r="C20" i="7" s="1"/>
  <c r="B21" i="7"/>
  <c r="C21" i="7" s="1"/>
  <c r="B22" i="7"/>
  <c r="C22" i="7" s="1"/>
  <c r="B23" i="7"/>
  <c r="C23" i="7" s="1"/>
  <c r="E5" i="1"/>
  <c r="F23" i="9" l="1"/>
  <c r="F9" i="9"/>
  <c r="F22" i="9"/>
  <c r="F4" i="9"/>
  <c r="F8" i="9"/>
  <c r="F20" i="9"/>
  <c r="F11" i="9"/>
  <c r="F5" i="9"/>
  <c r="F7" i="9"/>
  <c r="F6" i="9"/>
  <c r="F24" i="9"/>
  <c r="F18" i="9"/>
  <c r="G18" i="9" s="1"/>
  <c r="H18" i="9" s="1"/>
  <c r="F21" i="9"/>
  <c r="F3" i="9"/>
  <c r="F19" i="9"/>
  <c r="J18" i="9"/>
  <c r="F21" i="8"/>
  <c r="G21" i="8" s="1"/>
  <c r="I13" i="8"/>
  <c r="F13" i="8"/>
  <c r="G13" i="8" s="1"/>
  <c r="F22" i="8"/>
  <c r="G22" i="8" s="1"/>
  <c r="I22" i="8"/>
  <c r="F23" i="8"/>
  <c r="G23" i="8" s="1"/>
  <c r="I23" i="8"/>
  <c r="I6" i="8"/>
  <c r="F6" i="8"/>
  <c r="G6" i="8" s="1"/>
  <c r="I2" i="8"/>
  <c r="F2" i="8"/>
  <c r="G2" i="8" s="1"/>
  <c r="I8" i="8"/>
  <c r="F8" i="8"/>
  <c r="G8" i="8" s="1"/>
  <c r="I19" i="8"/>
  <c r="F19" i="8"/>
  <c r="G19" i="8" s="1"/>
  <c r="I9" i="8"/>
  <c r="F9" i="8"/>
  <c r="G9" i="8" s="1"/>
  <c r="F15" i="8"/>
  <c r="G15" i="8" s="1"/>
  <c r="I15" i="8"/>
  <c r="I20" i="8"/>
  <c r="F20" i="8"/>
  <c r="G20" i="8" s="1"/>
  <c r="I3" i="8"/>
  <c r="F3" i="8"/>
  <c r="G3" i="8" s="1"/>
  <c r="F14" i="8"/>
  <c r="G14" i="8" s="1"/>
  <c r="I14" i="8"/>
  <c r="F5" i="8"/>
  <c r="G5" i="8" s="1"/>
  <c r="I5" i="8"/>
  <c r="I11" i="8"/>
  <c r="F11" i="8"/>
  <c r="G11" i="8" s="1"/>
  <c r="I16" i="8"/>
  <c r="F16" i="8"/>
  <c r="G16" i="8" s="1"/>
  <c r="I4" i="8"/>
  <c r="F4" i="8"/>
  <c r="G4" i="8" s="1"/>
  <c r="F10" i="8"/>
  <c r="G10" i="8" s="1"/>
  <c r="I10" i="8"/>
  <c r="G29" i="8"/>
  <c r="C37" i="8"/>
  <c r="D29" i="8"/>
  <c r="E29" i="8" s="1"/>
  <c r="C35" i="8"/>
  <c r="F18" i="8"/>
  <c r="G18" i="8" s="1"/>
  <c r="I18" i="8"/>
  <c r="F1" i="8"/>
  <c r="G1" i="8" s="1"/>
  <c r="I1" i="8"/>
  <c r="F17" i="8"/>
  <c r="G17" i="8" s="1"/>
  <c r="I17" i="8"/>
  <c r="I7" i="8"/>
  <c r="F7" i="8"/>
  <c r="G7" i="8" s="1"/>
  <c r="I12" i="8"/>
  <c r="F12" i="8"/>
  <c r="G12" i="8" s="1"/>
  <c r="B32" i="7"/>
  <c r="C32" i="7" s="1"/>
  <c r="B31" i="7"/>
  <c r="C31" i="7" s="1"/>
  <c r="I28" i="7"/>
  <c r="B28" i="7"/>
  <c r="C28" i="7" s="1"/>
  <c r="I27" i="7"/>
  <c r="B27" i="7"/>
  <c r="C27" i="7" s="1"/>
  <c r="H27" i="7"/>
  <c r="B15" i="7"/>
  <c r="C15" i="7" s="1"/>
  <c r="B14" i="7"/>
  <c r="C14" i="7" s="1"/>
  <c r="B13" i="7"/>
  <c r="C13" i="7" s="1"/>
  <c r="B12" i="7"/>
  <c r="C12" i="7" s="1"/>
  <c r="B11" i="7"/>
  <c r="C11" i="7" s="1"/>
  <c r="B10" i="7"/>
  <c r="C10" i="7" s="1"/>
  <c r="B9" i="7"/>
  <c r="C9" i="7" s="1"/>
  <c r="B8" i="7"/>
  <c r="C8" i="7" s="1"/>
  <c r="B7" i="7"/>
  <c r="C7" i="7" s="1"/>
  <c r="N6" i="7"/>
  <c r="B6" i="7"/>
  <c r="C6" i="7" s="1"/>
  <c r="B5" i="7"/>
  <c r="C5" i="7" s="1"/>
  <c r="B4" i="7"/>
  <c r="C4" i="7" s="1"/>
  <c r="B3" i="7"/>
  <c r="C3" i="7" s="1"/>
  <c r="B2" i="7"/>
  <c r="C2" i="7" s="1"/>
  <c r="B1" i="7"/>
  <c r="C1" i="7" s="1"/>
  <c r="D1" i="7" s="1"/>
  <c r="E1" i="7" s="1"/>
  <c r="G19" i="9" l="1"/>
  <c r="H19" i="9" s="1"/>
  <c r="J19" i="9"/>
  <c r="J24" i="9"/>
  <c r="G24" i="9"/>
  <c r="H24" i="9" s="1"/>
  <c r="J5" i="9"/>
  <c r="G5" i="9"/>
  <c r="H5" i="9" s="1"/>
  <c r="G4" i="9"/>
  <c r="H4" i="9" s="1"/>
  <c r="J4" i="9"/>
  <c r="J23" i="9"/>
  <c r="G23" i="9"/>
  <c r="H23" i="9" s="1"/>
  <c r="G3" i="9"/>
  <c r="H3" i="9" s="1"/>
  <c r="J3" i="9"/>
  <c r="G6" i="9"/>
  <c r="H6" i="9" s="1"/>
  <c r="J6" i="9"/>
  <c r="G11" i="9"/>
  <c r="H11" i="9" s="1"/>
  <c r="J11" i="9"/>
  <c r="J22" i="9"/>
  <c r="G22" i="9"/>
  <c r="H22" i="9" s="1"/>
  <c r="G21" i="9"/>
  <c r="H21" i="9" s="1"/>
  <c r="J21" i="9"/>
  <c r="G7" i="9"/>
  <c r="H7" i="9" s="1"/>
  <c r="J7" i="9"/>
  <c r="J20" i="9"/>
  <c r="G20" i="9"/>
  <c r="H20" i="9" s="1"/>
  <c r="J10" i="9"/>
  <c r="G10" i="9"/>
  <c r="H10" i="9" s="1"/>
  <c r="G8" i="9"/>
  <c r="H8" i="9" s="1"/>
  <c r="J8" i="9"/>
  <c r="J9" i="9"/>
  <c r="G9" i="9"/>
  <c r="H9" i="9" s="1"/>
  <c r="I1" i="7"/>
  <c r="F1" i="7"/>
  <c r="G1" i="7" s="1"/>
  <c r="G35" i="8"/>
  <c r="D35" i="8"/>
  <c r="E35" i="8" s="1"/>
  <c r="G37" i="8"/>
  <c r="D37" i="8"/>
  <c r="E37" i="8" s="1"/>
  <c r="D8" i="7"/>
  <c r="E8" i="7"/>
  <c r="D19" i="7"/>
  <c r="D23" i="7"/>
  <c r="D20" i="7"/>
  <c r="D16" i="7"/>
  <c r="D21" i="7"/>
  <c r="D18" i="7"/>
  <c r="D22" i="7"/>
  <c r="E22" i="7"/>
  <c r="I22" i="7" s="1"/>
  <c r="E18" i="7"/>
  <c r="F18" i="7" s="1"/>
  <c r="G18" i="7" s="1"/>
  <c r="E21" i="7"/>
  <c r="I21" i="7" s="1"/>
  <c r="E17" i="7"/>
  <c r="F17" i="7" s="1"/>
  <c r="G17" i="7" s="1"/>
  <c r="E20" i="7"/>
  <c r="I20" i="7" s="1"/>
  <c r="E16" i="7"/>
  <c r="I16" i="7" s="1"/>
  <c r="E23" i="7"/>
  <c r="I23" i="7" s="1"/>
  <c r="E19" i="7"/>
  <c r="F19" i="7" s="1"/>
  <c r="G19" i="7" s="1"/>
  <c r="D17" i="7"/>
  <c r="C33" i="7"/>
  <c r="G33" i="7" s="1"/>
  <c r="D14" i="7"/>
  <c r="E14" i="7"/>
  <c r="D13" i="7"/>
  <c r="E10" i="7"/>
  <c r="D9" i="7"/>
  <c r="E5" i="7"/>
  <c r="D4" i="7"/>
  <c r="E15" i="7"/>
  <c r="D10" i="7"/>
  <c r="E7" i="7"/>
  <c r="E12" i="7"/>
  <c r="D11" i="7"/>
  <c r="E13" i="7"/>
  <c r="D12" i="7"/>
  <c r="E9" i="7"/>
  <c r="E4" i="7"/>
  <c r="D3" i="7"/>
  <c r="E11" i="7"/>
  <c r="E6" i="7"/>
  <c r="D5" i="7"/>
  <c r="E2" i="7"/>
  <c r="D7" i="7"/>
  <c r="D6" i="7"/>
  <c r="E3" i="7"/>
  <c r="D2" i="7"/>
  <c r="D15" i="7"/>
  <c r="C29" i="7"/>
  <c r="F21" i="7" l="1"/>
  <c r="G21" i="7" s="1"/>
  <c r="F20" i="7"/>
  <c r="G20" i="7" s="1"/>
  <c r="I19" i="7"/>
  <c r="I17" i="7"/>
  <c r="F16" i="7"/>
  <c r="G16" i="7" s="1"/>
  <c r="F22" i="7"/>
  <c r="G22" i="7" s="1"/>
  <c r="I18" i="7"/>
  <c r="F23" i="7"/>
  <c r="G23" i="7" s="1"/>
  <c r="D33" i="7"/>
  <c r="E33" i="7" s="1"/>
  <c r="I9" i="7"/>
  <c r="F9" i="7"/>
  <c r="G9" i="7" s="1"/>
  <c r="F15" i="7"/>
  <c r="G15" i="7" s="1"/>
  <c r="I15" i="7"/>
  <c r="F10" i="7"/>
  <c r="G10" i="7" s="1"/>
  <c r="I10" i="7"/>
  <c r="F2" i="7"/>
  <c r="G2" i="7" s="1"/>
  <c r="I2" i="7"/>
  <c r="I12" i="7"/>
  <c r="F12" i="7"/>
  <c r="G12" i="7" s="1"/>
  <c r="I3" i="7"/>
  <c r="F3" i="7"/>
  <c r="G3" i="7" s="1"/>
  <c r="F11" i="7"/>
  <c r="G11" i="7" s="1"/>
  <c r="I11" i="7"/>
  <c r="I4" i="7"/>
  <c r="F4" i="7"/>
  <c r="G4" i="7" s="1"/>
  <c r="I13" i="7"/>
  <c r="F13" i="7"/>
  <c r="G13" i="7" s="1"/>
  <c r="F7" i="7"/>
  <c r="G7" i="7" s="1"/>
  <c r="I7" i="7"/>
  <c r="I5" i="7"/>
  <c r="F5" i="7"/>
  <c r="G5" i="7" s="1"/>
  <c r="I14" i="7"/>
  <c r="F14" i="7"/>
  <c r="G14" i="7" s="1"/>
  <c r="G29" i="7"/>
  <c r="D29" i="7"/>
  <c r="E29" i="7" s="1"/>
  <c r="C35" i="7"/>
  <c r="I8" i="7"/>
  <c r="F8" i="7"/>
  <c r="G8" i="7" s="1"/>
  <c r="F6" i="7"/>
  <c r="G6" i="7" s="1"/>
  <c r="I6" i="7"/>
  <c r="C37" i="7"/>
  <c r="G37" i="7" l="1"/>
  <c r="D37" i="7"/>
  <c r="E37" i="7" s="1"/>
  <c r="G35" i="7"/>
  <c r="D35" i="7"/>
  <c r="E35" i="7" s="1"/>
  <c r="I5" i="1" l="1"/>
  <c r="B13" i="6" l="1"/>
  <c r="C13" i="6"/>
  <c r="B12" i="6"/>
  <c r="C2" i="6" l="1"/>
  <c r="D2" i="6" s="1"/>
  <c r="E2" i="6" s="1"/>
  <c r="K3" i="1"/>
  <c r="O3" i="1"/>
  <c r="N3" i="1"/>
  <c r="O2" i="1"/>
  <c r="N2" i="1"/>
  <c r="O1" i="1"/>
  <c r="N1" i="1"/>
  <c r="F2" i="6" l="1"/>
  <c r="G2" i="6" s="1"/>
  <c r="I2" i="6"/>
  <c r="J2" i="6"/>
  <c r="X4" i="4"/>
  <c r="Q6" i="4"/>
  <c r="T6" i="4" s="1"/>
  <c r="U6" i="4" s="1"/>
  <c r="Q2" i="4"/>
  <c r="P2" i="6" l="1"/>
  <c r="K2" i="6"/>
  <c r="L2" i="6" s="1"/>
  <c r="M2" i="6"/>
  <c r="N2" i="6" s="1"/>
  <c r="R6" i="4"/>
  <c r="S6" i="4" s="1"/>
  <c r="W6" i="4"/>
  <c r="I10" i="2"/>
  <c r="H10" i="2"/>
  <c r="G10" i="2"/>
  <c r="D2" i="1" l="1"/>
  <c r="E4" i="1" l="1"/>
  <c r="G13" i="6" l="1"/>
  <c r="C6" i="6" l="1"/>
  <c r="C4" i="6"/>
  <c r="C5" i="6"/>
  <c r="C3" i="6"/>
  <c r="I11" i="6" l="1"/>
  <c r="F6" i="6"/>
  <c r="G6" i="6" s="1"/>
  <c r="D6" i="6"/>
  <c r="E6" i="6" s="1"/>
  <c r="I6" i="6"/>
  <c r="J6" i="6"/>
  <c r="P6" i="6" s="1"/>
  <c r="D3" i="6"/>
  <c r="E3" i="6" s="1"/>
  <c r="I3" i="6"/>
  <c r="F3" i="6"/>
  <c r="G3" i="6" s="1"/>
  <c r="D5" i="6"/>
  <c r="E5" i="6" s="1"/>
  <c r="I5" i="6"/>
  <c r="F5" i="6"/>
  <c r="G5" i="6" s="1"/>
  <c r="F4" i="6"/>
  <c r="G4" i="6" s="1"/>
  <c r="D4" i="6"/>
  <c r="E4" i="6" s="1"/>
  <c r="I4" i="6"/>
  <c r="J4" i="6"/>
  <c r="P4" i="6" s="1"/>
  <c r="J5" i="6"/>
  <c r="M5" i="6" s="1"/>
  <c r="N5" i="6" s="1"/>
  <c r="J3" i="6"/>
  <c r="AS2" i="6" s="1"/>
  <c r="AT2" i="6" l="1"/>
  <c r="AU2" i="6" s="1"/>
  <c r="AY2" i="6"/>
  <c r="AV2" i="6"/>
  <c r="AW2" i="6" s="1"/>
  <c r="M6" i="6"/>
  <c r="N6" i="6" s="1"/>
  <c r="K6" i="6"/>
  <c r="L6" i="6" s="1"/>
  <c r="M4" i="6"/>
  <c r="N4" i="6" s="1"/>
  <c r="K4" i="6"/>
  <c r="L4" i="6" s="1"/>
  <c r="K5" i="6"/>
  <c r="L5" i="6" s="1"/>
  <c r="P5" i="6"/>
  <c r="P3" i="6"/>
  <c r="K3" i="6"/>
  <c r="L3" i="6" s="1"/>
  <c r="M3" i="6"/>
  <c r="N3" i="6" s="1"/>
  <c r="K1" i="1"/>
  <c r="R4" i="2" l="1"/>
  <c r="J5" i="2"/>
  <c r="J4" i="2"/>
  <c r="W38" i="1" l="1"/>
  <c r="H52" i="1" s="1"/>
  <c r="W37" i="1"/>
  <c r="C52" i="1" s="1"/>
  <c r="W36" i="1"/>
  <c r="R47" i="1" s="1"/>
  <c r="W35" i="1"/>
  <c r="M47" i="1" s="1"/>
  <c r="W34" i="1"/>
  <c r="H47" i="1" s="1"/>
  <c r="W33" i="1"/>
  <c r="C47" i="1" s="1"/>
  <c r="W32" i="1"/>
  <c r="R42" i="1" s="1"/>
  <c r="W31" i="1"/>
  <c r="M42" i="1" s="1"/>
  <c r="W30" i="1"/>
  <c r="H42" i="1" s="1"/>
  <c r="W29" i="1"/>
  <c r="C42" i="1" s="1"/>
  <c r="W28" i="1"/>
  <c r="R37" i="1" s="1"/>
  <c r="W27" i="1"/>
  <c r="M37" i="1" s="1"/>
  <c r="W26" i="1"/>
  <c r="H37" i="1" s="1"/>
  <c r="W25" i="1"/>
  <c r="C37" i="1" s="1"/>
  <c r="W24" i="1"/>
  <c r="I53" i="1"/>
  <c r="H53" i="1"/>
  <c r="D53" i="1"/>
  <c r="C53" i="1"/>
  <c r="S48" i="1"/>
  <c r="R48" i="1"/>
  <c r="N48" i="1"/>
  <c r="M48" i="1"/>
  <c r="I48" i="1"/>
  <c r="H48" i="1"/>
  <c r="D48" i="1"/>
  <c r="C48" i="1"/>
  <c r="S43" i="1"/>
  <c r="R43" i="1"/>
  <c r="N43" i="1"/>
  <c r="M43" i="1"/>
  <c r="I43" i="1"/>
  <c r="H43" i="1"/>
  <c r="D43" i="1"/>
  <c r="C43" i="1"/>
  <c r="S38" i="1"/>
  <c r="R38" i="1"/>
  <c r="N38" i="1"/>
  <c r="M38" i="1"/>
  <c r="I38" i="1"/>
  <c r="H38" i="1"/>
  <c r="D38" i="1"/>
  <c r="C38" i="1"/>
  <c r="H49" i="1" l="1"/>
  <c r="H50" i="1" s="1"/>
  <c r="N49" i="1"/>
  <c r="N50" i="1" s="1"/>
  <c r="H44" i="1"/>
  <c r="H45" i="1" s="1"/>
  <c r="M49" i="1"/>
  <c r="M50" i="1" s="1"/>
  <c r="I54" i="1"/>
  <c r="I55" i="1" s="1"/>
  <c r="S39" i="1"/>
  <c r="S40" i="1" s="1"/>
  <c r="I44" i="1"/>
  <c r="I45" i="1" s="1"/>
  <c r="S44" i="1"/>
  <c r="S45" i="1" s="1"/>
  <c r="I49" i="1"/>
  <c r="I50" i="1" s="1"/>
  <c r="R49" i="1"/>
  <c r="R50" i="1" s="1"/>
  <c r="N39" i="1"/>
  <c r="N40" i="1" s="1"/>
  <c r="N44" i="1"/>
  <c r="N45" i="1" s="1"/>
  <c r="D44" i="1"/>
  <c r="D45" i="1" s="1"/>
  <c r="H54" i="1"/>
  <c r="H55" i="1" s="1"/>
  <c r="H39" i="1"/>
  <c r="H40" i="1" s="1"/>
  <c r="D39" i="1"/>
  <c r="D40" i="1" s="1"/>
  <c r="I39" i="1"/>
  <c r="I40" i="1" s="1"/>
  <c r="C49" i="1"/>
  <c r="C50" i="1" s="1"/>
  <c r="C54" i="1"/>
  <c r="C55" i="1" s="1"/>
  <c r="D49" i="1"/>
  <c r="D50" i="1" s="1"/>
  <c r="D54" i="1"/>
  <c r="D55" i="1" s="1"/>
  <c r="S49" i="1"/>
  <c r="S50" i="1" s="1"/>
  <c r="C39" i="1"/>
  <c r="C40" i="1" s="1"/>
  <c r="C44" i="1"/>
  <c r="C45" i="1" s="1"/>
  <c r="R39" i="1"/>
  <c r="R40" i="1" s="1"/>
  <c r="R44" i="1"/>
  <c r="R45" i="1" s="1"/>
  <c r="M39" i="1"/>
  <c r="M40" i="1" s="1"/>
  <c r="M44" i="1"/>
  <c r="M45" i="1" s="1"/>
  <c r="O45" i="1" s="1"/>
  <c r="M3" i="1"/>
  <c r="E45" i="1" l="1"/>
  <c r="E44" i="1" s="1"/>
  <c r="E43" i="1" s="1"/>
  <c r="J55" i="1"/>
  <c r="J54" i="1" s="1"/>
  <c r="J53" i="1" s="1"/>
  <c r="O50" i="1"/>
  <c r="O49" i="1" s="1"/>
  <c r="O48" i="1" s="1"/>
  <c r="E55" i="1"/>
  <c r="E54" i="1" s="1"/>
  <c r="E53" i="1" s="1"/>
  <c r="J40" i="1"/>
  <c r="J39" i="1" s="1"/>
  <c r="J38" i="1" s="1"/>
  <c r="T45" i="1"/>
  <c r="T44" i="1" s="1"/>
  <c r="T43" i="1" s="1"/>
  <c r="O40" i="1"/>
  <c r="O39" i="1" s="1"/>
  <c r="O38" i="1" s="1"/>
  <c r="E40" i="1"/>
  <c r="E39" i="1" s="1"/>
  <c r="E38" i="1" s="1"/>
  <c r="J45" i="1"/>
  <c r="J44" i="1" s="1"/>
  <c r="J43" i="1" s="1"/>
  <c r="E50" i="1"/>
  <c r="E49" i="1" s="1"/>
  <c r="E48" i="1" s="1"/>
  <c r="T50" i="1"/>
  <c r="T49" i="1" s="1"/>
  <c r="T48" i="1" s="1"/>
  <c r="T40" i="1"/>
  <c r="T39" i="1" s="1"/>
  <c r="T38" i="1" s="1"/>
  <c r="J50" i="1"/>
  <c r="J49" i="1" s="1"/>
  <c r="J48" i="1" s="1"/>
  <c r="O44" i="1"/>
  <c r="O43" i="1" s="1"/>
  <c r="G11" i="4"/>
  <c r="C4" i="4"/>
  <c r="AD3" i="1"/>
  <c r="C9" i="4" l="1"/>
  <c r="I9" i="4" s="1"/>
  <c r="C3" i="4"/>
  <c r="I3" i="4" s="1"/>
  <c r="C6" i="4"/>
  <c r="F6" i="4" s="1"/>
  <c r="G6" i="4" s="1"/>
  <c r="C2" i="4"/>
  <c r="D2" i="4" s="1"/>
  <c r="E2" i="4" s="1"/>
  <c r="C5" i="4"/>
  <c r="I5" i="4" s="1"/>
  <c r="AZ3" i="6"/>
  <c r="BG4" i="6" s="1"/>
  <c r="BN5" i="6" s="1"/>
  <c r="BU6" i="6" s="1"/>
  <c r="I4" i="4"/>
  <c r="F4" i="4"/>
  <c r="G4" i="4" s="1"/>
  <c r="D4" i="4"/>
  <c r="E4" i="4" s="1"/>
  <c r="I6" i="4"/>
  <c r="F5" i="4"/>
  <c r="G5" i="4" s="1"/>
  <c r="C8" i="4"/>
  <c r="C7" i="4"/>
  <c r="D5" i="4" l="1"/>
  <c r="E5" i="4" s="1"/>
  <c r="J8" i="4"/>
  <c r="M8" i="4" s="1"/>
  <c r="N8" i="4" s="1"/>
  <c r="D3" i="4"/>
  <c r="E3" i="4" s="1"/>
  <c r="F2" i="4"/>
  <c r="G2" i="4" s="1"/>
  <c r="D9" i="4"/>
  <c r="E9" i="4" s="1"/>
  <c r="F9" i="4"/>
  <c r="G9" i="4" s="1"/>
  <c r="J4" i="4"/>
  <c r="M4" i="4" s="1"/>
  <c r="N4" i="4" s="1"/>
  <c r="D6" i="4"/>
  <c r="E6" i="4" s="1"/>
  <c r="J6" i="4"/>
  <c r="F3" i="4"/>
  <c r="G3" i="4" s="1"/>
  <c r="I2" i="4"/>
  <c r="J2" i="4"/>
  <c r="BA3" i="6"/>
  <c r="BB3" i="6" s="1"/>
  <c r="BX6" i="6"/>
  <c r="BY6" i="6" s="1"/>
  <c r="CA6" i="6"/>
  <c r="BV6" i="6"/>
  <c r="BW6" i="6" s="1"/>
  <c r="BC3" i="6"/>
  <c r="BD3" i="6" s="1"/>
  <c r="BF3" i="6"/>
  <c r="BJ4" i="6"/>
  <c r="BK4" i="6" s="1"/>
  <c r="BM4" i="6"/>
  <c r="BH4" i="6"/>
  <c r="BI4" i="6" s="1"/>
  <c r="I8" i="4"/>
  <c r="F8" i="4"/>
  <c r="G8" i="4" s="1"/>
  <c r="D8" i="4"/>
  <c r="E8" i="4" s="1"/>
  <c r="I7" i="4"/>
  <c r="F7" i="4"/>
  <c r="G7" i="4" s="1"/>
  <c r="D7" i="4"/>
  <c r="E7" i="4" s="1"/>
  <c r="P8" i="4" l="1"/>
  <c r="K8" i="4"/>
  <c r="L8" i="4" s="1"/>
  <c r="P4" i="4"/>
  <c r="K4" i="4"/>
  <c r="L4" i="4" s="1"/>
  <c r="P6" i="4"/>
  <c r="K6" i="4"/>
  <c r="L6" i="4" s="1"/>
  <c r="M6" i="4"/>
  <c r="N6" i="4" s="1"/>
  <c r="P2" i="4"/>
  <c r="M2" i="4"/>
  <c r="N2" i="4" s="1"/>
  <c r="K2" i="4"/>
  <c r="L2" i="4" s="1"/>
  <c r="BQ5" i="6"/>
  <c r="BR5" i="6" s="1"/>
  <c r="BO5" i="6"/>
  <c r="BP5" i="6" s="1"/>
  <c r="C6" i="3"/>
  <c r="T2" i="4" l="1"/>
  <c r="U2" i="4" s="1"/>
  <c r="W2" i="4"/>
  <c r="R2" i="4"/>
  <c r="S2" i="4" s="1"/>
  <c r="R2" i="1"/>
  <c r="AA4" i="4" l="1"/>
  <c r="AB4" i="4" s="1"/>
  <c r="AE6" i="4"/>
  <c r="Y4" i="4"/>
  <c r="Z4" i="4" s="1"/>
  <c r="AD4" i="4"/>
  <c r="G4" i="1"/>
  <c r="AK6" i="4" l="1"/>
  <c r="AF6" i="4"/>
  <c r="AG6" i="4" s="1"/>
  <c r="AH6" i="4"/>
  <c r="AI6" i="4" s="1"/>
  <c r="R32" i="1"/>
  <c r="W23" i="1"/>
  <c r="M32" i="1" s="1"/>
  <c r="W22" i="1"/>
  <c r="H32" i="1" s="1"/>
  <c r="W21" i="1"/>
  <c r="C32" i="1" s="1"/>
  <c r="W19" i="1"/>
  <c r="W20" i="1"/>
  <c r="S33" i="1"/>
  <c r="R33" i="1"/>
  <c r="N33" i="1"/>
  <c r="M33" i="1"/>
  <c r="I33" i="1"/>
  <c r="H33" i="1"/>
  <c r="D33" i="1"/>
  <c r="C33" i="1"/>
  <c r="N34" i="1" l="1"/>
  <c r="N35" i="1" s="1"/>
  <c r="H34" i="1"/>
  <c r="H35" i="1" s="1"/>
  <c r="D34" i="1"/>
  <c r="D35" i="1" s="1"/>
  <c r="R34" i="1"/>
  <c r="R35" i="1" s="1"/>
  <c r="I34" i="1"/>
  <c r="I35" i="1" s="1"/>
  <c r="M34" i="1"/>
  <c r="M35" i="1" s="1"/>
  <c r="S34" i="1"/>
  <c r="S35" i="1" s="1"/>
  <c r="C34" i="1"/>
  <c r="C35" i="1" s="1"/>
  <c r="H3" i="1"/>
  <c r="E35" i="1" l="1"/>
  <c r="E34" i="1" s="1"/>
  <c r="E33" i="1" s="1"/>
  <c r="T35" i="1"/>
  <c r="T34" i="1" s="1"/>
  <c r="T33" i="1" s="1"/>
  <c r="O35" i="1"/>
  <c r="O34" i="1" s="1"/>
  <c r="O33" i="1" s="1"/>
  <c r="J35" i="1"/>
  <c r="J34" i="1" s="1"/>
  <c r="J33" i="1" s="1"/>
  <c r="S28" i="1"/>
  <c r="R28" i="1"/>
  <c r="N28" i="1"/>
  <c r="M28" i="1"/>
  <c r="R27" i="1"/>
  <c r="M27" i="1"/>
  <c r="W18" i="1"/>
  <c r="M29" i="1" l="1"/>
  <c r="M30" i="1" s="1"/>
  <c r="N29" i="1"/>
  <c r="N30" i="1" s="1"/>
  <c r="R29" i="1"/>
  <c r="R30" i="1" s="1"/>
  <c r="S29" i="1"/>
  <c r="S30" i="1" s="1"/>
  <c r="I3" i="2"/>
  <c r="H3" i="2"/>
  <c r="T30" i="1" l="1"/>
  <c r="T29" i="1" s="1"/>
  <c r="T28" i="1" s="1"/>
  <c r="O30" i="1"/>
  <c r="O29" i="1" s="1"/>
  <c r="O28" i="1" s="1"/>
  <c r="I28" i="1"/>
  <c r="H28" i="1"/>
  <c r="D28" i="1"/>
  <c r="C28" i="1"/>
  <c r="D23" i="1"/>
  <c r="C23" i="1"/>
  <c r="I23" i="1"/>
  <c r="H23" i="1"/>
  <c r="I18" i="1"/>
  <c r="H18" i="1"/>
  <c r="D18" i="1"/>
  <c r="C18" i="1"/>
  <c r="D13" i="1"/>
  <c r="C13" i="1"/>
  <c r="I13" i="1"/>
  <c r="H13" i="1"/>
  <c r="N13" i="1"/>
  <c r="M13" i="1"/>
  <c r="N18" i="1"/>
  <c r="M18" i="1"/>
  <c r="N23" i="1"/>
  <c r="M23" i="1"/>
  <c r="S23" i="1"/>
  <c r="R23" i="1"/>
  <c r="S18" i="1"/>
  <c r="R18" i="1"/>
  <c r="S13" i="1"/>
  <c r="R13" i="1"/>
  <c r="S8" i="1"/>
  <c r="R8" i="1"/>
  <c r="N8" i="1"/>
  <c r="M8" i="1"/>
  <c r="I8" i="1"/>
  <c r="H8" i="1"/>
  <c r="D8" i="1"/>
  <c r="C8" i="1"/>
  <c r="H27" i="1"/>
  <c r="W17" i="1"/>
  <c r="C27" i="1" s="1"/>
  <c r="W16" i="1"/>
  <c r="R22" i="1" s="1"/>
  <c r="W15" i="1"/>
  <c r="W14" i="1"/>
  <c r="H22" i="1" s="1"/>
  <c r="W13" i="1"/>
  <c r="C22" i="1" s="1"/>
  <c r="W12" i="1"/>
  <c r="R17" i="1" s="1"/>
  <c r="W11" i="1"/>
  <c r="M17" i="1" s="1"/>
  <c r="W10" i="1"/>
  <c r="H17" i="1" s="1"/>
  <c r="W9" i="1"/>
  <c r="C17" i="1" s="1"/>
  <c r="W8" i="1"/>
  <c r="R12" i="1" s="1"/>
  <c r="W7" i="1"/>
  <c r="M12" i="1" s="1"/>
  <c r="W6" i="1"/>
  <c r="H12" i="1" s="1"/>
  <c r="W5" i="1"/>
  <c r="C12" i="1" s="1"/>
  <c r="W4" i="1"/>
  <c r="R7" i="1" s="1"/>
  <c r="W3" i="1"/>
  <c r="M7" i="1" s="1"/>
  <c r="W2" i="1"/>
  <c r="H7" i="1" s="1"/>
  <c r="W1" i="1"/>
  <c r="C7" i="1" s="1"/>
  <c r="H24" i="1" l="1"/>
  <c r="H25" i="1" s="1"/>
  <c r="M22" i="1"/>
  <c r="M24" i="1" s="1"/>
  <c r="M25" i="1" s="1"/>
  <c r="I29" i="1"/>
  <c r="I30" i="1" s="1"/>
  <c r="H29" i="1"/>
  <c r="H30" i="1" s="1"/>
  <c r="D29" i="1"/>
  <c r="D30" i="1" s="1"/>
  <c r="C29" i="1"/>
  <c r="C30" i="1" s="1"/>
  <c r="S24" i="1"/>
  <c r="S25" i="1" s="1"/>
  <c r="R24" i="1"/>
  <c r="R25" i="1" s="1"/>
  <c r="C24" i="1"/>
  <c r="C25" i="1" s="1"/>
  <c r="D24" i="1"/>
  <c r="D25" i="1" s="1"/>
  <c r="S19" i="1"/>
  <c r="S20" i="1" s="1"/>
  <c r="R19" i="1"/>
  <c r="R20" i="1" s="1"/>
  <c r="I19" i="1"/>
  <c r="I20" i="1" s="1"/>
  <c r="H19" i="1"/>
  <c r="H20" i="1" s="1"/>
  <c r="M19" i="1"/>
  <c r="M20" i="1" s="1"/>
  <c r="S14" i="1"/>
  <c r="S15" i="1" s="1"/>
  <c r="R14" i="1"/>
  <c r="R15" i="1" s="1"/>
  <c r="M14" i="1"/>
  <c r="M15" i="1" s="1"/>
  <c r="C14" i="1"/>
  <c r="C15" i="1" s="1"/>
  <c r="N14" i="1"/>
  <c r="N15" i="1" s="1"/>
  <c r="D14" i="1"/>
  <c r="D15" i="1" s="1"/>
  <c r="S9" i="1"/>
  <c r="S10" i="1" s="1"/>
  <c r="R9" i="1"/>
  <c r="R10" i="1" s="1"/>
  <c r="T20" i="1" l="1"/>
  <c r="T19" i="1" s="1"/>
  <c r="T18" i="1" s="1"/>
  <c r="O15" i="1"/>
  <c r="O14" i="1" s="1"/>
  <c r="O13" i="1" s="1"/>
  <c r="T14" i="1"/>
  <c r="T13" i="1" s="1"/>
  <c r="T9" i="1"/>
  <c r="T8" i="1" s="1"/>
  <c r="E14" i="1"/>
  <c r="E13" i="1" s="1"/>
  <c r="T25" i="1"/>
  <c r="T24" i="1" s="1"/>
  <c r="T23" i="1" s="1"/>
  <c r="J30" i="1"/>
  <c r="J29" i="1" s="1"/>
  <c r="J28" i="1" s="1"/>
  <c r="J19" i="1"/>
  <c r="J18" i="1" s="1"/>
  <c r="E30" i="1"/>
  <c r="E29" i="1" s="1"/>
  <c r="E28" i="1" s="1"/>
  <c r="E24" i="1"/>
  <c r="E23" i="1" s="1"/>
  <c r="N24" i="1"/>
  <c r="N25" i="1" s="1"/>
  <c r="I24" i="1"/>
  <c r="I25" i="1" s="1"/>
  <c r="N19" i="1"/>
  <c r="N20" i="1" s="1"/>
  <c r="O20" i="1" s="1"/>
  <c r="H14" i="1"/>
  <c r="H15" i="1" s="1"/>
  <c r="I14" i="1"/>
  <c r="I15" i="1" s="1"/>
  <c r="J14" i="1" l="1"/>
  <c r="J13" i="1" s="1"/>
  <c r="O19" i="1"/>
  <c r="O18" i="1" s="1"/>
  <c r="J24" i="1"/>
  <c r="J23" i="1" s="1"/>
  <c r="O24" i="1"/>
  <c r="O23" i="1" s="1"/>
  <c r="D19" i="1"/>
  <c r="D20" i="1" s="1"/>
  <c r="C19" i="1"/>
  <c r="C20" i="1" s="1"/>
  <c r="E20" i="1" l="1"/>
  <c r="E19" i="1" s="1"/>
  <c r="E18" i="1" s="1"/>
  <c r="C9" i="1"/>
  <c r="C10" i="1" s="1"/>
  <c r="D9" i="1"/>
  <c r="D10" i="1" s="1"/>
  <c r="E9" i="1" l="1"/>
  <c r="E8" i="1" s="1"/>
  <c r="I9" i="1"/>
  <c r="I10" i="1" s="1"/>
  <c r="H9" i="1"/>
  <c r="H10" i="1" s="1"/>
  <c r="J9" i="1" l="1"/>
  <c r="J8" i="1" s="1"/>
  <c r="N9" i="1"/>
  <c r="N10" i="1" s="1"/>
  <c r="M9" i="1"/>
  <c r="M10" i="1" s="1"/>
  <c r="O9" i="1" l="1"/>
  <c r="O8" i="1" s="1"/>
</calcChain>
</file>

<file path=xl/sharedStrings.xml><?xml version="1.0" encoding="utf-8"?>
<sst xmlns="http://schemas.openxmlformats.org/spreadsheetml/2006/main" count="178" uniqueCount="80">
  <si>
    <t>total cfm</t>
  </si>
  <si>
    <t>drops</t>
  </si>
  <si>
    <t>desired fpm</t>
  </si>
  <si>
    <t>drop 1</t>
  </si>
  <si>
    <t>drop 2</t>
  </si>
  <si>
    <t>drop 3</t>
  </si>
  <si>
    <t>drop 4</t>
  </si>
  <si>
    <t>drop 5</t>
  </si>
  <si>
    <t>drop 6</t>
  </si>
  <si>
    <t>drop 7</t>
  </si>
  <si>
    <t>drop 8</t>
  </si>
  <si>
    <t>drop 9</t>
  </si>
  <si>
    <t>drop 10</t>
  </si>
  <si>
    <t>drop 11</t>
  </si>
  <si>
    <t>drop 12</t>
  </si>
  <si>
    <t>drop 13</t>
  </si>
  <si>
    <t>drop 14</t>
  </si>
  <si>
    <t>drop 15</t>
  </si>
  <si>
    <t>drop 16</t>
  </si>
  <si>
    <t>drop 17</t>
  </si>
  <si>
    <t>drop 18</t>
  </si>
  <si>
    <t>desired FPM (max)</t>
  </si>
  <si>
    <t>desired FPM (min)</t>
  </si>
  <si>
    <t>A</t>
  </si>
  <si>
    <t>B</t>
  </si>
  <si>
    <t>C</t>
  </si>
  <si>
    <t>D</t>
  </si>
  <si>
    <t>E</t>
  </si>
  <si>
    <t>drop 19</t>
  </si>
  <si>
    <t>drop 20</t>
  </si>
  <si>
    <t>drop 21</t>
  </si>
  <si>
    <t>drop 22</t>
  </si>
  <si>
    <t>drop 23</t>
  </si>
  <si>
    <t>drop 24</t>
  </si>
  <si>
    <t>scale</t>
  </si>
  <si>
    <t>inches_a</t>
  </si>
  <si>
    <t>inches_b</t>
  </si>
  <si>
    <t>measure_a</t>
  </si>
  <si>
    <t>measure_b</t>
  </si>
  <si>
    <t>Length</t>
  </si>
  <si>
    <t>Width</t>
  </si>
  <si>
    <t>Height</t>
  </si>
  <si>
    <t>Air change per hour</t>
  </si>
  <si>
    <t>CFM</t>
  </si>
  <si>
    <t>Volume Exchange:</t>
  </si>
  <si>
    <t>ft</t>
  </si>
  <si>
    <t>n</t>
  </si>
  <si>
    <t>Q</t>
  </si>
  <si>
    <t>V</t>
  </si>
  <si>
    <t>Guildemeister</t>
  </si>
  <si>
    <t>Total</t>
  </si>
  <si>
    <t>Availible</t>
  </si>
  <si>
    <t>drop 25</t>
  </si>
  <si>
    <t>drop 26</t>
  </si>
  <si>
    <t>drop 27</t>
  </si>
  <si>
    <t>drop 28</t>
  </si>
  <si>
    <t>drop 29</t>
  </si>
  <si>
    <t>drop 30</t>
  </si>
  <si>
    <t>drop 31</t>
  </si>
  <si>
    <t>drop 32</t>
  </si>
  <si>
    <t>drop 33</t>
  </si>
  <si>
    <t>drop 34</t>
  </si>
  <si>
    <t>drop 35</t>
  </si>
  <si>
    <t>drop 36</t>
  </si>
  <si>
    <t>drop 37</t>
  </si>
  <si>
    <t>drop 38</t>
  </si>
  <si>
    <t>Radius</t>
  </si>
  <si>
    <t>FPM</t>
  </si>
  <si>
    <t>table</t>
  </si>
  <si>
    <t>x</t>
  </si>
  <si>
    <t>y</t>
  </si>
  <si>
    <t>in^2</t>
  </si>
  <si>
    <t>ft^2</t>
  </si>
  <si>
    <t>cfm</t>
  </si>
  <si>
    <t>SDT-BE1.5D</t>
  </si>
  <si>
    <t>SDT-8x3D</t>
  </si>
  <si>
    <t>WB-7078G</t>
  </si>
  <si>
    <t>BE-ARM 2020P</t>
  </si>
  <si>
    <t>Crusher</t>
  </si>
  <si>
    <t>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</si>
</sst>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00"/>
    <numFmt numFmtId="165" formatCode="0.0000"/>
    <numFmt numFmtId="166" formatCode="0.0000000000000000000"/>
    <numFmt numFmtId="167" formatCode="0.0"/>
    <numFmt numFmtId="17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165" fontId="0" fillId="0" borderId="1" xfId="0" applyNumberFormat="1" applyBorder="1"/>
    <xf numFmtId="0" fontId="0" fillId="0" borderId="2" xfId="0" applyBorder="1"/>
    <xf numFmtId="1" fontId="0" fillId="0" borderId="3" xfId="0" applyNumberFormat="1" applyBorder="1"/>
    <xf numFmtId="1" fontId="0" fillId="0" borderId="4" xfId="0" applyNumberFormat="1" applyBorder="1"/>
    <xf numFmtId="0" fontId="0" fillId="0" borderId="5" xfId="0" applyBorder="1"/>
    <xf numFmtId="1" fontId="0" fillId="0" borderId="6" xfId="0" applyNumberFormat="1" applyBorder="1"/>
    <xf numFmtId="165" fontId="0" fillId="0" borderId="6" xfId="0" applyNumberFormat="1" applyBorder="1"/>
    <xf numFmtId="0" fontId="0" fillId="0" borderId="7" xfId="0" applyBorder="1"/>
    <xf numFmtId="165" fontId="0" fillId="0" borderId="8" xfId="0" applyNumberFormat="1" applyBorder="1"/>
    <xf numFmtId="2" fontId="0" fillId="2" borderId="9" xfId="0" applyNumberForma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0" xfId="0" applyAlignment="1">
      <alignment horizontal="center"/>
    </xf>
    <xf numFmtId="0" fontId="0" fillId="0" borderId="0" xfId="0" applyFill="1" applyBorder="1"/>
    <xf numFmtId="1" fontId="0" fillId="0" borderId="0" xfId="0" applyNumberFormat="1" applyFill="1" applyBorder="1"/>
    <xf numFmtId="165" fontId="0" fillId="0" borderId="0" xfId="0" applyNumberFormat="1" applyFill="1" applyBorder="1"/>
    <xf numFmtId="2" fontId="0" fillId="0" borderId="0" xfId="0" applyNumberFormat="1" applyFill="1" applyBorder="1" applyAlignment="1">
      <alignment horizontal="right"/>
    </xf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7" fontId="0" fillId="0" borderId="0" xfId="0" applyNumberFormat="1"/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Border="1"/>
    <xf numFmtId="0" fontId="0" fillId="0" borderId="13" xfId="0" applyBorder="1"/>
    <xf numFmtId="0" fontId="0" fillId="0" borderId="0" xfId="0" applyFill="1" applyBorder="1" applyAlignment="1">
      <alignment wrapText="1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285486</xdr:colOff>
      <xdr:row>16</xdr:row>
      <xdr:rowOff>18664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14286" cy="30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152400</xdr:colOff>
      <xdr:row>1</xdr:row>
      <xdr:rowOff>95250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3209925" y="295275"/>
              <a:ext cx="914400" cy="423834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𝑛</m:t>
                    </m:r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60∗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𝑄</m:t>
                        </m:r>
                        <m:r>
                          <m:rPr>
                            <m:nor/>
                          </m:rPr>
                          <a:rPr lang="en-US">
                            <a:effectLst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𝑉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3209925" y="295275"/>
              <a:ext cx="914400" cy="423834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𝑛=(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60∗𝑄"</a:t>
              </a:r>
              <a:r>
                <a:rPr lang="en-US" i="0">
                  <a:effectLst/>
                </a:rPr>
                <a:t> </a:t>
              </a:r>
              <a:r>
                <a:rPr lang="en-US" sz="1100" b="0" i="0">
                  <a:effectLst/>
                  <a:latin typeface="Cambria Math"/>
                </a:rPr>
                <a:t>" )/</a:t>
              </a:r>
              <a:r>
                <a:rPr lang="en-US" sz="1100" b="0" i="0">
                  <a:latin typeface="Cambria Math"/>
                </a:rPr>
                <a:t>𝑉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7"/>
  <sheetViews>
    <sheetView topLeftCell="A2" zoomScale="115" zoomScaleNormal="115" workbookViewId="0">
      <selection activeCell="D10" sqref="D10"/>
    </sheetView>
  </sheetViews>
  <sheetFormatPr defaultRowHeight="15" x14ac:dyDescent="0.25"/>
  <cols>
    <col min="1" max="1" width="6.5703125" bestFit="1" customWidth="1"/>
    <col min="2" max="2" width="17.85546875" bestFit="1" customWidth="1"/>
    <col min="3" max="4" width="8.28515625" bestFit="1" customWidth="1"/>
    <col min="5" max="5" width="7.28515625" bestFit="1" customWidth="1"/>
    <col min="6" max="6" width="10.7109375" bestFit="1" customWidth="1"/>
    <col min="7" max="7" width="11.7109375" bestFit="1" customWidth="1"/>
    <col min="8" max="8" width="12.5703125" bestFit="1" customWidth="1"/>
    <col min="9" max="9" width="10.85546875" bestFit="1" customWidth="1"/>
    <col min="10" max="10" width="7.28515625" bestFit="1" customWidth="1"/>
    <col min="11" max="11" width="6.5703125" bestFit="1" customWidth="1"/>
    <col min="12" max="12" width="11.7109375" bestFit="1" customWidth="1"/>
    <col min="13" max="13" width="8.28515625" bestFit="1" customWidth="1"/>
    <col min="14" max="14" width="8.5703125" bestFit="1" customWidth="1"/>
    <col min="15" max="15" width="7.28515625" bestFit="1" customWidth="1"/>
    <col min="16" max="16" width="4.140625" bestFit="1" customWidth="1"/>
    <col min="17" max="17" width="11.7109375" bestFit="1" customWidth="1"/>
    <col min="18" max="19" width="8.28515625" bestFit="1" customWidth="1"/>
    <col min="20" max="20" width="7.28515625" bestFit="1" customWidth="1"/>
    <col min="21" max="21" width="7.5703125" bestFit="1" customWidth="1"/>
    <col min="22" max="22" width="8" bestFit="1" customWidth="1"/>
    <col min="23" max="23" width="6.7109375" bestFit="1" customWidth="1"/>
    <col min="27" max="27" width="6.85546875" bestFit="1" customWidth="1"/>
    <col min="28" max="28" width="3.42578125" bestFit="1" customWidth="1"/>
    <col min="29" max="29" width="4.7109375" bestFit="1" customWidth="1"/>
    <col min="30" max="30" width="5" bestFit="1" customWidth="1"/>
    <col min="31" max="31" width="6.85546875" bestFit="1" customWidth="1"/>
  </cols>
  <sheetData>
    <row r="1" spans="2:30" x14ac:dyDescent="0.25">
      <c r="G1" s="54" t="s">
        <v>34</v>
      </c>
      <c r="H1" s="54"/>
      <c r="K1">
        <f>360/12</f>
        <v>30</v>
      </c>
      <c r="N1">
        <f>60-13</f>
        <v>47</v>
      </c>
      <c r="O1">
        <f>68-34</f>
        <v>34</v>
      </c>
      <c r="V1" t="s">
        <v>3</v>
      </c>
      <c r="W1">
        <f>C2/C3</f>
        <v>600</v>
      </c>
      <c r="AD1">
        <v>3500</v>
      </c>
    </row>
    <row r="2" spans="2:30" x14ac:dyDescent="0.25">
      <c r="B2" t="s">
        <v>0</v>
      </c>
      <c r="C2" s="3">
        <v>2400</v>
      </c>
      <c r="D2" s="3">
        <f>2350/3</f>
        <v>783.33333333333337</v>
      </c>
      <c r="E2" s="3"/>
      <c r="F2" s="1" t="s">
        <v>37</v>
      </c>
      <c r="G2" s="1">
        <v>2</v>
      </c>
      <c r="H2" s="1">
        <v>0.75</v>
      </c>
      <c r="I2" s="1" t="s">
        <v>38</v>
      </c>
      <c r="J2" s="1"/>
      <c r="K2" s="1"/>
      <c r="L2" s="1"/>
      <c r="M2" s="1"/>
      <c r="N2" s="1">
        <f>N1*N1</f>
        <v>2209</v>
      </c>
      <c r="O2" s="1">
        <f>O1*O1</f>
        <v>1156</v>
      </c>
      <c r="P2" s="1"/>
      <c r="Q2" s="1">
        <v>1156</v>
      </c>
      <c r="R2">
        <f>(((R4^2)/4)*PI())</f>
        <v>1156.0001844207516</v>
      </c>
      <c r="V2" t="s">
        <v>4</v>
      </c>
      <c r="W2">
        <f>$C$2/$C$3*2</f>
        <v>1200</v>
      </c>
      <c r="AD2">
        <v>1500</v>
      </c>
    </row>
    <row r="3" spans="2:30" x14ac:dyDescent="0.25">
      <c r="B3" t="s">
        <v>1</v>
      </c>
      <c r="C3" s="3">
        <v>4</v>
      </c>
      <c r="D3" s="3"/>
      <c r="E3" s="3"/>
      <c r="F3" s="1" t="s">
        <v>35</v>
      </c>
      <c r="G3" s="1">
        <v>60</v>
      </c>
      <c r="H3" s="1">
        <f>G3*H2/G2</f>
        <v>22.5</v>
      </c>
      <c r="I3" s="1" t="s">
        <v>36</v>
      </c>
      <c r="J3" s="1"/>
      <c r="K3" s="1">
        <f>58/8</f>
        <v>7.25</v>
      </c>
      <c r="L3" s="1">
        <v>300</v>
      </c>
      <c r="M3" s="1">
        <f>L3*0.04</f>
        <v>12</v>
      </c>
      <c r="N3" s="1">
        <f>N2+O2</f>
        <v>3365</v>
      </c>
      <c r="O3" s="1">
        <f>SQRT(N3)</f>
        <v>58.008620049092706</v>
      </c>
      <c r="P3" s="1"/>
      <c r="Q3" s="1"/>
      <c r="V3" t="s">
        <v>5</v>
      </c>
      <c r="W3">
        <f>$C$2/$C$3*3</f>
        <v>1800</v>
      </c>
      <c r="AD3">
        <f>AD2+AD1</f>
        <v>5000</v>
      </c>
    </row>
    <row r="4" spans="2:30" x14ac:dyDescent="0.25">
      <c r="B4" t="s">
        <v>22</v>
      </c>
      <c r="C4" s="3">
        <v>2000</v>
      </c>
      <c r="D4" s="3"/>
      <c r="E4" s="3">
        <f>1200*9</f>
        <v>10800</v>
      </c>
      <c r="F4" s="1"/>
      <c r="G4" s="1">
        <f>G3/G2</f>
        <v>30</v>
      </c>
      <c r="H4" s="1"/>
      <c r="I4" s="1"/>
      <c r="J4" s="1"/>
      <c r="K4" s="1"/>
      <c r="L4" s="1"/>
      <c r="M4" s="1"/>
      <c r="N4" s="1"/>
      <c r="O4" s="1"/>
      <c r="P4" s="1"/>
      <c r="Q4" s="1"/>
      <c r="R4">
        <v>38.364894741490453</v>
      </c>
      <c r="V4" t="s">
        <v>6</v>
      </c>
      <c r="W4">
        <f>$C$2/$C$3*4</f>
        <v>2400</v>
      </c>
    </row>
    <row r="5" spans="2:30" x14ac:dyDescent="0.25">
      <c r="B5" t="s">
        <v>21</v>
      </c>
      <c r="C5" s="3">
        <v>3000</v>
      </c>
      <c r="D5" s="3"/>
      <c r="E5" s="3">
        <f>7+8+8</f>
        <v>23</v>
      </c>
      <c r="F5" s="38"/>
      <c r="G5" s="1"/>
      <c r="H5" s="1">
        <v>240</v>
      </c>
      <c r="I5" s="1">
        <f>H5/59</f>
        <v>4.0677966101694913</v>
      </c>
      <c r="J5" s="1"/>
      <c r="K5" s="1"/>
      <c r="L5" s="1"/>
      <c r="M5" s="1"/>
      <c r="N5" s="1"/>
      <c r="O5" s="1"/>
      <c r="P5" s="1"/>
      <c r="Q5" s="1"/>
      <c r="V5" t="s">
        <v>7</v>
      </c>
      <c r="W5">
        <f>$C$2/$C$3*5</f>
        <v>3000</v>
      </c>
    </row>
    <row r="6" spans="2:30" ht="15.75" thickBot="1" x14ac:dyDescent="0.3">
      <c r="C6" s="3"/>
      <c r="D6" s="3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V6" t="s">
        <v>8</v>
      </c>
      <c r="W6">
        <f>$C$2/$C$3*6</f>
        <v>3600</v>
      </c>
    </row>
    <row r="7" spans="2:30" x14ac:dyDescent="0.25">
      <c r="B7" s="6" t="s">
        <v>3</v>
      </c>
      <c r="C7" s="7">
        <f>W1</f>
        <v>600</v>
      </c>
      <c r="D7" s="7"/>
      <c r="E7" s="8"/>
      <c r="F7" s="1"/>
      <c r="G7" s="6" t="s">
        <v>4</v>
      </c>
      <c r="H7" s="7">
        <f>W2</f>
        <v>1200</v>
      </c>
      <c r="I7" s="7"/>
      <c r="J7" s="8"/>
      <c r="L7" s="6" t="s">
        <v>5</v>
      </c>
      <c r="M7" s="7">
        <f>W3</f>
        <v>1800</v>
      </c>
      <c r="N7" s="7"/>
      <c r="O7" s="8"/>
      <c r="P7" s="3"/>
      <c r="Q7" s="6" t="s">
        <v>6</v>
      </c>
      <c r="R7" s="7">
        <f>W4</f>
        <v>2400</v>
      </c>
      <c r="S7" s="7"/>
      <c r="T7" s="8"/>
      <c r="U7" s="3"/>
      <c r="V7" t="s">
        <v>9</v>
      </c>
      <c r="W7">
        <f>$C$2/$C$3*7</f>
        <v>4200</v>
      </c>
    </row>
    <row r="8" spans="2:30" x14ac:dyDescent="0.25">
      <c r="B8" s="9" t="s">
        <v>2</v>
      </c>
      <c r="C8" s="4">
        <f>$C$4</f>
        <v>2000</v>
      </c>
      <c r="D8" s="4">
        <f>$C$5</f>
        <v>3000</v>
      </c>
      <c r="E8" s="10">
        <f>C7/E9</f>
        <v>1718.8733853924698</v>
      </c>
      <c r="F8" s="1"/>
      <c r="G8" s="9" t="s">
        <v>2</v>
      </c>
      <c r="H8" s="4">
        <f>$C$4</f>
        <v>2000</v>
      </c>
      <c r="I8" s="4">
        <f>$C$5</f>
        <v>3000</v>
      </c>
      <c r="J8" s="10">
        <f>H7/J9</f>
        <v>2200.157933302361</v>
      </c>
      <c r="K8" s="1"/>
      <c r="L8" s="9" t="s">
        <v>2</v>
      </c>
      <c r="M8" s="4">
        <f>$C$4</f>
        <v>2000</v>
      </c>
      <c r="N8" s="4">
        <f>$C$5</f>
        <v>3000</v>
      </c>
      <c r="O8" s="10">
        <f>M7/O9</f>
        <v>2291.8311805232929</v>
      </c>
      <c r="P8" s="3"/>
      <c r="Q8" s="9" t="s">
        <v>2</v>
      </c>
      <c r="R8" s="4">
        <f>$C$4</f>
        <v>2000</v>
      </c>
      <c r="S8" s="4">
        <f>$C$5</f>
        <v>3000</v>
      </c>
      <c r="T8" s="10">
        <f>R7/T9</f>
        <v>2245.0591156146538</v>
      </c>
      <c r="V8" t="s">
        <v>10</v>
      </c>
      <c r="W8">
        <f>$C$2/$C$3*8</f>
        <v>4800</v>
      </c>
    </row>
    <row r="9" spans="2:30" x14ac:dyDescent="0.25">
      <c r="B9" s="9"/>
      <c r="C9" s="5">
        <f>C7/C8</f>
        <v>0.3</v>
      </c>
      <c r="D9" s="5">
        <f>C7/D8</f>
        <v>0.2</v>
      </c>
      <c r="E9" s="11">
        <f>(((E10/12)^2)/4)*PI()</f>
        <v>0.3490658503988659</v>
      </c>
      <c r="F9" s="2"/>
      <c r="G9" s="9"/>
      <c r="H9" s="5">
        <f>H7/H8</f>
        <v>0.6</v>
      </c>
      <c r="I9" s="5">
        <f>H7/I8</f>
        <v>0.4</v>
      </c>
      <c r="J9" s="11">
        <f>(((J10/12)^2)/4)*PI()</f>
        <v>0.54541539124822802</v>
      </c>
      <c r="K9" s="2"/>
      <c r="L9" s="9"/>
      <c r="M9" s="5">
        <f>M7/M8</f>
        <v>0.9</v>
      </c>
      <c r="N9" s="5">
        <f>M7/N8</f>
        <v>0.6</v>
      </c>
      <c r="O9" s="11">
        <f>(((O10/12)^2)/4)*PI()</f>
        <v>0.78539816339744828</v>
      </c>
      <c r="P9" s="2"/>
      <c r="Q9" s="9"/>
      <c r="R9" s="5">
        <f>R7/R8</f>
        <v>1.2</v>
      </c>
      <c r="S9" s="5">
        <f>R7/S8</f>
        <v>0.8</v>
      </c>
      <c r="T9" s="11">
        <f>(((T10/12)^2)/4)*PI()</f>
        <v>1.0690141668465269</v>
      </c>
      <c r="V9" t="s">
        <v>11</v>
      </c>
      <c r="W9">
        <f>$C$2/$C$3*9</f>
        <v>5400</v>
      </c>
    </row>
    <row r="10" spans="2:30" ht="15.75" thickBot="1" x14ac:dyDescent="0.3">
      <c r="B10" s="12"/>
      <c r="C10" s="13">
        <f>SQRT(4*C9/(PI()))*12</f>
        <v>7.4164646788452391</v>
      </c>
      <c r="D10" s="13">
        <f>SQRT(4*D9/(PI()))*12</f>
        <v>6.0555180528483845</v>
      </c>
      <c r="E10" s="14">
        <v>8</v>
      </c>
      <c r="F10" s="2"/>
      <c r="G10" s="12"/>
      <c r="H10" s="13">
        <f>SQRT(4*H9/(PI()))*12</f>
        <v>10.488464933683959</v>
      </c>
      <c r="I10" s="13">
        <f>SQRT(4*I9/(PI()))*12</f>
        <v>8.5637957575333008</v>
      </c>
      <c r="J10" s="14">
        <v>10</v>
      </c>
      <c r="K10" s="2"/>
      <c r="L10" s="12"/>
      <c r="M10" s="13">
        <f>SQRT(4*M9/(PI()))*12</f>
        <v>12.845693636299952</v>
      </c>
      <c r="N10" s="13">
        <f>SQRT(4*N9/(PI()))*12</f>
        <v>10.488464933683959</v>
      </c>
      <c r="O10" s="14">
        <v>12</v>
      </c>
      <c r="P10" s="2"/>
      <c r="Q10" s="12"/>
      <c r="R10" s="13">
        <f>SQRT(4*R9/(PI()))*12</f>
        <v>14.832929357690478</v>
      </c>
      <c r="S10" s="13">
        <f>SQRT(4*S9/(PI()))*12</f>
        <v>12.111036105696769</v>
      </c>
      <c r="T10" s="14">
        <v>14</v>
      </c>
      <c r="V10" t="s">
        <v>12</v>
      </c>
      <c r="W10">
        <f>$C$2/$C$3*10</f>
        <v>6000</v>
      </c>
    </row>
    <row r="11" spans="2:30" ht="15.75" thickBot="1" x14ac:dyDescent="0.3">
      <c r="V11" t="s">
        <v>13</v>
      </c>
      <c r="W11">
        <f>$C$2/$C$3*11</f>
        <v>6600</v>
      </c>
    </row>
    <row r="12" spans="2:30" x14ac:dyDescent="0.25">
      <c r="B12" s="6" t="s">
        <v>7</v>
      </c>
      <c r="C12" s="7">
        <f>W5</f>
        <v>3000</v>
      </c>
      <c r="D12" s="7"/>
      <c r="E12" s="8"/>
      <c r="F12" s="1"/>
      <c r="G12" s="6" t="s">
        <v>8</v>
      </c>
      <c r="H12" s="7">
        <f>W6</f>
        <v>3600</v>
      </c>
      <c r="I12" s="7"/>
      <c r="J12" s="8"/>
      <c r="L12" s="6" t="s">
        <v>9</v>
      </c>
      <c r="M12" s="7">
        <f>W7</f>
        <v>4200</v>
      </c>
      <c r="N12" s="7"/>
      <c r="O12" s="8"/>
      <c r="P12" s="3"/>
      <c r="Q12" s="6" t="s">
        <v>10</v>
      </c>
      <c r="R12" s="7">
        <f>W8</f>
        <v>4800</v>
      </c>
      <c r="S12" s="7"/>
      <c r="T12" s="8"/>
      <c r="V12" t="s">
        <v>14</v>
      </c>
      <c r="W12">
        <f>$C$2/$C$3*12</f>
        <v>7200</v>
      </c>
    </row>
    <row r="13" spans="2:30" x14ac:dyDescent="0.25">
      <c r="B13" s="9" t="s">
        <v>2</v>
      </c>
      <c r="C13" s="4">
        <f>$C$4</f>
        <v>2000</v>
      </c>
      <c r="D13" s="4">
        <f>$C$5</f>
        <v>3000</v>
      </c>
      <c r="E13" s="10">
        <f>C12/E14</f>
        <v>2806.3238945183175</v>
      </c>
      <c r="F13" s="1"/>
      <c r="G13" s="9" t="s">
        <v>2</v>
      </c>
      <c r="H13" s="4">
        <f>$C$4</f>
        <v>2000</v>
      </c>
      <c r="I13" s="4">
        <f>$C$5</f>
        <v>3000</v>
      </c>
      <c r="J13" s="10">
        <f>H12/J14</f>
        <v>2578.3100780887044</v>
      </c>
      <c r="K13" s="1"/>
      <c r="L13" s="9" t="s">
        <v>2</v>
      </c>
      <c r="M13" s="4">
        <f>$C$4</f>
        <v>2000</v>
      </c>
      <c r="N13" s="4">
        <f>$C$5</f>
        <v>3000</v>
      </c>
      <c r="O13" s="10">
        <f>M12/O14</f>
        <v>2376.7138168389706</v>
      </c>
      <c r="P13" s="3"/>
      <c r="Q13" s="9" t="s">
        <v>2</v>
      </c>
      <c r="R13" s="4">
        <f>$C$4</f>
        <v>2000</v>
      </c>
      <c r="S13" s="4">
        <f>$C$5</f>
        <v>3000</v>
      </c>
      <c r="T13" s="10">
        <f>R12/T14</f>
        <v>2716.2443621016805</v>
      </c>
      <c r="V13" t="s">
        <v>15</v>
      </c>
      <c r="W13">
        <f>$C$2/$C$3*13</f>
        <v>7800</v>
      </c>
    </row>
    <row r="14" spans="2:30" x14ac:dyDescent="0.25">
      <c r="B14" s="9"/>
      <c r="C14" s="5">
        <f>C12/C13</f>
        <v>1.5</v>
      </c>
      <c r="D14" s="5">
        <f>C12/D13</f>
        <v>1</v>
      </c>
      <c r="E14" s="11">
        <f>(((E15/12)^2)/4)*PI()</f>
        <v>1.0690141668465269</v>
      </c>
      <c r="F14" s="2"/>
      <c r="G14" s="9"/>
      <c r="H14" s="5">
        <f>H12/H13</f>
        <v>1.8</v>
      </c>
      <c r="I14" s="5">
        <f>H12/I13</f>
        <v>1.2</v>
      </c>
      <c r="J14" s="11">
        <f>(((J15/12)^2)/4)*PI()</f>
        <v>1.3962634015954636</v>
      </c>
      <c r="K14" s="2"/>
      <c r="L14" s="9"/>
      <c r="M14" s="5">
        <f>M12/M13</f>
        <v>2.1</v>
      </c>
      <c r="N14" s="5">
        <f>M12/N13</f>
        <v>1.4</v>
      </c>
      <c r="O14" s="11">
        <f>(((O15/12)^2)/4)*PI()</f>
        <v>1.7671458676442586</v>
      </c>
      <c r="P14" s="2"/>
      <c r="Q14" s="9"/>
      <c r="R14" s="5">
        <f>R12/R13</f>
        <v>2.4</v>
      </c>
      <c r="S14" s="5">
        <f>R12/S13</f>
        <v>1.6</v>
      </c>
      <c r="T14" s="11">
        <f>(((T15/12)^2)/4)*PI()</f>
        <v>1.7671458676442586</v>
      </c>
      <c r="V14" t="s">
        <v>16</v>
      </c>
      <c r="W14">
        <f>$C$2/$C$3*14</f>
        <v>8400</v>
      </c>
    </row>
    <row r="15" spans="2:30" ht="15.75" thickBot="1" x14ac:dyDescent="0.3">
      <c r="B15" s="12"/>
      <c r="C15" s="13">
        <f>SQRT(4*C14/(PI()))*12</f>
        <v>16.583719174624104</v>
      </c>
      <c r="D15" s="13">
        <f>SQRT(4*D14/(PI()))*12</f>
        <v>13.540550005146152</v>
      </c>
      <c r="E15" s="14">
        <v>14</v>
      </c>
      <c r="F15" s="2"/>
      <c r="G15" s="12"/>
      <c r="H15" s="13">
        <f>SQRT(4*H14/(PI()))*12</f>
        <v>18.166554158545154</v>
      </c>
      <c r="I15" s="13">
        <f>SQRT(4*I14/(PI()))*12</f>
        <v>14.832929357690478</v>
      </c>
      <c r="J15" s="14">
        <v>16</v>
      </c>
      <c r="K15" s="2"/>
      <c r="L15" s="12"/>
      <c r="M15" s="13">
        <f>SQRT(4*M14/(PI()))*12</f>
        <v>19.622121147519021</v>
      </c>
      <c r="N15" s="13">
        <f>SQRT(4*N14/(PI()))*12</f>
        <v>16.021394827498909</v>
      </c>
      <c r="O15" s="14">
        <f>EVEN(AVERAGE(M15:N15))</f>
        <v>18</v>
      </c>
      <c r="P15" s="2"/>
      <c r="Q15" s="12"/>
      <c r="R15" s="13">
        <f>SQRT(4*R14/(PI()))*12</f>
        <v>20.976929867367918</v>
      </c>
      <c r="S15" s="13">
        <f>SQRT(4*S14/(PI()))*12</f>
        <v>17.127591515066602</v>
      </c>
      <c r="T15" s="14">
        <v>18</v>
      </c>
      <c r="V15" t="s">
        <v>17</v>
      </c>
      <c r="W15">
        <f>$C$2/$C$3*15</f>
        <v>9000</v>
      </c>
    </row>
    <row r="16" spans="2:30" ht="15.75" thickBot="1" x14ac:dyDescent="0.3">
      <c r="V16" t="s">
        <v>18</v>
      </c>
      <c r="W16">
        <f>$C$2/$C$3*16</f>
        <v>9600</v>
      </c>
    </row>
    <row r="17" spans="2:23" x14ac:dyDescent="0.25">
      <c r="B17" s="6" t="s">
        <v>11</v>
      </c>
      <c r="C17" s="7">
        <f>W9</f>
        <v>5400</v>
      </c>
      <c r="D17" s="7"/>
      <c r="E17" s="8"/>
      <c r="F17" s="1"/>
      <c r="G17" s="6" t="s">
        <v>12</v>
      </c>
      <c r="H17" s="7">
        <f>W10</f>
        <v>6000</v>
      </c>
      <c r="I17" s="7"/>
      <c r="J17" s="8"/>
      <c r="L17" s="6" t="s">
        <v>13</v>
      </c>
      <c r="M17" s="7">
        <f>W11</f>
        <v>6600</v>
      </c>
      <c r="N17" s="7"/>
      <c r="O17" s="8"/>
      <c r="P17" s="3"/>
      <c r="Q17" s="6" t="s">
        <v>14</v>
      </c>
      <c r="R17" s="7">
        <f>W12</f>
        <v>7200</v>
      </c>
      <c r="S17" s="7"/>
      <c r="T17" s="8"/>
      <c r="V17" t="s">
        <v>19</v>
      </c>
      <c r="W17">
        <f>$C$2/$C$3*17</f>
        <v>10200</v>
      </c>
    </row>
    <row r="18" spans="2:23" x14ac:dyDescent="0.25">
      <c r="B18" s="9" t="s">
        <v>2</v>
      </c>
      <c r="C18" s="4">
        <f>$C$4</f>
        <v>2000</v>
      </c>
      <c r="D18" s="4">
        <f>$C$5</f>
        <v>3000</v>
      </c>
      <c r="E18" s="10">
        <f>C17/E19</f>
        <v>2045.6013842687246</v>
      </c>
      <c r="F18" s="1"/>
      <c r="G18" s="9" t="s">
        <v>2</v>
      </c>
      <c r="H18" s="4">
        <f>$C$4</f>
        <v>2000</v>
      </c>
      <c r="I18" s="4">
        <f>$C$5</f>
        <v>3000</v>
      </c>
      <c r="J18" s="10">
        <f>H17/J19</f>
        <v>2750.197416627951</v>
      </c>
      <c r="K18" s="1"/>
      <c r="L18" s="9" t="s">
        <v>2</v>
      </c>
      <c r="M18" s="4">
        <f>$C$4</f>
        <v>2000</v>
      </c>
      <c r="N18" s="4">
        <f>$C$5</f>
        <v>3000</v>
      </c>
      <c r="O18" s="10">
        <f>M17/O19</f>
        <v>2100.8452488130183</v>
      </c>
      <c r="P18" s="3"/>
      <c r="Q18" s="9" t="s">
        <v>2</v>
      </c>
      <c r="R18" s="4">
        <f>$C$4</f>
        <v>2000</v>
      </c>
      <c r="S18" s="4">
        <f>$C$5</f>
        <v>3000</v>
      </c>
      <c r="T18" s="10">
        <f>R17/T19</f>
        <v>2291.8311805232929</v>
      </c>
      <c r="V18" t="s">
        <v>20</v>
      </c>
      <c r="W18">
        <f>$C$2/$C$3*18</f>
        <v>10800</v>
      </c>
    </row>
    <row r="19" spans="2:23" x14ac:dyDescent="0.25">
      <c r="B19" s="9"/>
      <c r="C19" s="5">
        <f>C17/C18</f>
        <v>2.7</v>
      </c>
      <c r="D19" s="5">
        <f>C17/D18</f>
        <v>1.8</v>
      </c>
      <c r="E19" s="11">
        <f>(((E20/12)^2)/4)*PI()</f>
        <v>2.6398104936414231</v>
      </c>
      <c r="F19" s="2"/>
      <c r="G19" s="9"/>
      <c r="H19" s="5">
        <f>H17/H18</f>
        <v>3</v>
      </c>
      <c r="I19" s="5">
        <f>H17/I18</f>
        <v>2</v>
      </c>
      <c r="J19" s="11">
        <f>(((J20/12)^2)/4)*PI()</f>
        <v>2.1816615649929121</v>
      </c>
      <c r="K19" s="2"/>
      <c r="L19" s="9"/>
      <c r="M19" s="5">
        <f>M17/M18</f>
        <v>3.3</v>
      </c>
      <c r="N19" s="5">
        <f>M17/N18</f>
        <v>2.2000000000000002</v>
      </c>
      <c r="O19" s="11">
        <f>(((O20/12)^2)/4)*PI()</f>
        <v>3.1415926535897931</v>
      </c>
      <c r="P19" s="2"/>
      <c r="Q19" s="9"/>
      <c r="R19" s="5">
        <f>R17/R18</f>
        <v>3.6</v>
      </c>
      <c r="S19" s="5">
        <f>R17/S18</f>
        <v>2.4</v>
      </c>
      <c r="T19" s="11">
        <f>(((T20/12)^2)/4)*PI()</f>
        <v>3.1415926535897931</v>
      </c>
      <c r="V19" t="s">
        <v>28</v>
      </c>
      <c r="W19">
        <f>$C$2/$C$3*19</f>
        <v>11400</v>
      </c>
    </row>
    <row r="20" spans="2:23" ht="15.75" thickBot="1" x14ac:dyDescent="0.3">
      <c r="B20" s="12"/>
      <c r="C20" s="13">
        <f>SQRT(4*C19/(PI()))*12</f>
        <v>22.249394036535719</v>
      </c>
      <c r="D20" s="13">
        <f>SQRT(4*D19/(PI()))*12</f>
        <v>18.166554158545154</v>
      </c>
      <c r="E20" s="14">
        <f>EVEN(AVERAGE(C20:D20))</f>
        <v>22</v>
      </c>
      <c r="F20" s="2"/>
      <c r="G20" s="12"/>
      <c r="H20" s="13">
        <f>SQRT(4*H19/(PI()))*12</f>
        <v>23.452920571340158</v>
      </c>
      <c r="I20" s="13">
        <f>SQRT(4*I19/(PI()))*12</f>
        <v>19.149229459268771</v>
      </c>
      <c r="J20" s="14">
        <v>20</v>
      </c>
      <c r="K20" s="2"/>
      <c r="L20" s="12"/>
      <c r="M20" s="13">
        <f>SQRT(4*M19/(PI()))*12</f>
        <v>24.597630610653322</v>
      </c>
      <c r="N20" s="13">
        <f>SQRT(4*N19/(PI()))*12</f>
        <v>20.08388129252161</v>
      </c>
      <c r="O20" s="14">
        <f>EVEN(AVERAGE(M20:N20))</f>
        <v>24</v>
      </c>
      <c r="P20" s="2"/>
      <c r="Q20" s="12"/>
      <c r="R20" s="13">
        <f>SQRT(4*R19/(PI()))*12</f>
        <v>25.691387272599904</v>
      </c>
      <c r="S20" s="13">
        <f>SQRT(4*S19/(PI()))*12</f>
        <v>20.976929867367918</v>
      </c>
      <c r="T20" s="14">
        <f>EVEN(AVERAGE(R20:S20))</f>
        <v>24</v>
      </c>
      <c r="V20" t="s">
        <v>29</v>
      </c>
      <c r="W20">
        <f>$C$2/$C$3*20</f>
        <v>12000</v>
      </c>
    </row>
    <row r="21" spans="2:23" ht="15.75" thickBot="1" x14ac:dyDescent="0.3">
      <c r="V21" t="s">
        <v>30</v>
      </c>
      <c r="W21">
        <f>$C$2/$C$3*21</f>
        <v>12600</v>
      </c>
    </row>
    <row r="22" spans="2:23" x14ac:dyDescent="0.25">
      <c r="B22" s="6" t="s">
        <v>15</v>
      </c>
      <c r="C22" s="7">
        <f>W13</f>
        <v>7800</v>
      </c>
      <c r="D22" s="7"/>
      <c r="E22" s="8"/>
      <c r="F22" s="1"/>
      <c r="G22" s="6" t="s">
        <v>16</v>
      </c>
      <c r="H22" s="7">
        <f>W14</f>
        <v>8400</v>
      </c>
      <c r="I22" s="7"/>
      <c r="J22" s="8"/>
      <c r="L22" s="6" t="s">
        <v>17</v>
      </c>
      <c r="M22" s="7">
        <f>W15</f>
        <v>9000</v>
      </c>
      <c r="N22" s="7"/>
      <c r="O22" s="8"/>
      <c r="P22" s="3"/>
      <c r="Q22" s="6" t="s">
        <v>18</v>
      </c>
      <c r="R22" s="7">
        <f>W16</f>
        <v>9600</v>
      </c>
      <c r="S22" s="7"/>
      <c r="T22" s="8"/>
      <c r="V22" t="s">
        <v>31</v>
      </c>
      <c r="W22">
        <f>$C$2/$C$3*22</f>
        <v>13200</v>
      </c>
    </row>
    <row r="23" spans="2:23" x14ac:dyDescent="0.25">
      <c r="B23" s="9" t="s">
        <v>2</v>
      </c>
      <c r="C23" s="4">
        <f>$C$4</f>
        <v>2000</v>
      </c>
      <c r="D23" s="4">
        <f>$C$5</f>
        <v>3000</v>
      </c>
      <c r="E23" s="10">
        <f>C22/E24</f>
        <v>2482.8171122335675</v>
      </c>
      <c r="F23" s="1"/>
      <c r="G23" s="9" t="s">
        <v>2</v>
      </c>
      <c r="H23" s="4">
        <f>$C$4</f>
        <v>2000</v>
      </c>
      <c r="I23" s="4">
        <f>$C$5</f>
        <v>3000</v>
      </c>
      <c r="J23" s="10">
        <f>H22/J24</f>
        <v>2673.8030439438417</v>
      </c>
      <c r="K23" s="1"/>
      <c r="L23" s="9" t="s">
        <v>2</v>
      </c>
      <c r="M23" s="4">
        <f>$C$4</f>
        <v>2000</v>
      </c>
      <c r="N23" s="4">
        <f>$C$5</f>
        <v>3000</v>
      </c>
      <c r="O23" s="10">
        <f>M22/O24</f>
        <v>2864.7889756541163</v>
      </c>
      <c r="P23" s="3"/>
      <c r="Q23" s="9" t="s">
        <v>2</v>
      </c>
      <c r="R23" s="4">
        <f>$C$4</f>
        <v>2000</v>
      </c>
      <c r="S23" s="4">
        <f>$C$5</f>
        <v>3000</v>
      </c>
      <c r="T23" s="10">
        <f>R22/T24</f>
        <v>2245.0591156146538</v>
      </c>
      <c r="V23" t="s">
        <v>32</v>
      </c>
      <c r="W23">
        <f>$C$2/$C$3*23</f>
        <v>13800</v>
      </c>
    </row>
    <row r="24" spans="2:23" x14ac:dyDescent="0.25">
      <c r="B24" s="9"/>
      <c r="C24" s="5">
        <f>C22/C23</f>
        <v>3.9</v>
      </c>
      <c r="D24" s="5">
        <f>C22/D23</f>
        <v>2.6</v>
      </c>
      <c r="E24" s="11">
        <f>(((E25/12)^2)/4)*PI()</f>
        <v>3.1415926535897931</v>
      </c>
      <c r="F24" s="2"/>
      <c r="G24" s="9"/>
      <c r="H24" s="5">
        <f>H22/H23</f>
        <v>4.2</v>
      </c>
      <c r="I24" s="5">
        <f>H22/I23</f>
        <v>2.8</v>
      </c>
      <c r="J24" s="11">
        <f>(((J25/12)^2)/4)*PI()</f>
        <v>3.1415926535897931</v>
      </c>
      <c r="K24" s="2"/>
      <c r="L24" s="9"/>
      <c r="M24" s="5">
        <f>M22/M23</f>
        <v>4.5</v>
      </c>
      <c r="N24" s="5">
        <f>M22/N23</f>
        <v>3</v>
      </c>
      <c r="O24" s="11">
        <f>(((O25/12)^2)/4)*PI()</f>
        <v>3.1415926535897931</v>
      </c>
      <c r="P24" s="2"/>
      <c r="Q24" s="9"/>
      <c r="R24" s="5">
        <f>R22/R23</f>
        <v>4.8</v>
      </c>
      <c r="S24" s="5">
        <f>R22/S23</f>
        <v>3.2</v>
      </c>
      <c r="T24" s="11">
        <f>(((T25/12)^2)/4)*PI()</f>
        <v>4.2760566673861078</v>
      </c>
      <c r="V24" t="s">
        <v>33</v>
      </c>
      <c r="W24">
        <f>$C$2/$C$3*24</f>
        <v>14400</v>
      </c>
    </row>
    <row r="25" spans="2:23" ht="15.75" thickBot="1" x14ac:dyDescent="0.3">
      <c r="B25" s="12"/>
      <c r="C25" s="13">
        <f>SQRT(4*C24/(PI()))*12</f>
        <v>26.740443682244084</v>
      </c>
      <c r="D25" s="13">
        <f>SQRT(4*D24/(PI()))*12</f>
        <v>21.833480839042707</v>
      </c>
      <c r="E25" s="14">
        <v>24</v>
      </c>
      <c r="F25" s="2"/>
      <c r="G25" s="12"/>
      <c r="H25" s="13">
        <f>SQRT(4*H24/(PI()))*12</f>
        <v>27.749869849349324</v>
      </c>
      <c r="I25" s="13">
        <f>SQRT(4*I24/(PI()))*12</f>
        <v>22.657673853183113</v>
      </c>
      <c r="J25" s="14">
        <v>24</v>
      </c>
      <c r="K25" s="2"/>
      <c r="L25" s="12"/>
      <c r="M25" s="13">
        <f>SQRT(4*M24/(PI()))*12</f>
        <v>28.723844188903151</v>
      </c>
      <c r="N25" s="13">
        <f>SQRT(4*N24/(PI()))*12</f>
        <v>23.452920571340158</v>
      </c>
      <c r="O25" s="14">
        <v>24</v>
      </c>
      <c r="P25" s="2"/>
      <c r="Q25" s="12"/>
      <c r="R25" s="13">
        <f>SQRT(4*R24/(PI()))*12</f>
        <v>29.665858715380956</v>
      </c>
      <c r="S25" s="13">
        <f>SQRT(4*S24/(PI()))*12</f>
        <v>24.222072211393538</v>
      </c>
      <c r="T25" s="14">
        <f>EVEN(AVERAGE(R25:S25))</f>
        <v>28</v>
      </c>
      <c r="V25" t="s">
        <v>52</v>
      </c>
      <c r="W25">
        <f>$C$2/$C$3*25</f>
        <v>15000</v>
      </c>
    </row>
    <row r="26" spans="2:23" ht="15.75" thickBot="1" x14ac:dyDescent="0.3">
      <c r="V26" t="s">
        <v>53</v>
      </c>
      <c r="W26">
        <f>$C$2/$C$3*26</f>
        <v>15600</v>
      </c>
    </row>
    <row r="27" spans="2:23" x14ac:dyDescent="0.25">
      <c r="B27" s="6" t="s">
        <v>19</v>
      </c>
      <c r="C27" s="7">
        <f>W17</f>
        <v>10200</v>
      </c>
      <c r="D27" s="7"/>
      <c r="E27" s="8"/>
      <c r="F27" s="1"/>
      <c r="G27" s="6" t="s">
        <v>20</v>
      </c>
      <c r="H27" s="7">
        <f>W18</f>
        <v>10800</v>
      </c>
      <c r="I27" s="7"/>
      <c r="J27" s="8"/>
      <c r="L27" s="6" t="s">
        <v>28</v>
      </c>
      <c r="M27" s="7">
        <f>W19</f>
        <v>11400</v>
      </c>
      <c r="N27" s="7"/>
      <c r="O27" s="8"/>
      <c r="Q27" s="6" t="s">
        <v>29</v>
      </c>
      <c r="R27" s="7">
        <f>W20</f>
        <v>12000</v>
      </c>
      <c r="S27" s="7"/>
      <c r="T27" s="8"/>
      <c r="V27" t="s">
        <v>54</v>
      </c>
      <c r="W27">
        <f>$C$2/$C$3*27</f>
        <v>16200</v>
      </c>
    </row>
    <row r="28" spans="2:23" x14ac:dyDescent="0.25">
      <c r="B28" s="9" t="s">
        <v>2</v>
      </c>
      <c r="C28" s="4">
        <f>$C$4</f>
        <v>2000</v>
      </c>
      <c r="D28" s="4">
        <f>$C$5</f>
        <v>3000</v>
      </c>
      <c r="E28" s="10">
        <f>C27/E29</f>
        <v>2385.3753103405697</v>
      </c>
      <c r="F28" s="1"/>
      <c r="G28" s="9" t="s">
        <v>2</v>
      </c>
      <c r="H28" s="4">
        <f>$C$4</f>
        <v>2000</v>
      </c>
      <c r="I28" s="4">
        <f>$C$5</f>
        <v>3000</v>
      </c>
      <c r="J28" s="10">
        <f>H27/J29</f>
        <v>2200.157933302361</v>
      </c>
      <c r="L28" s="9" t="s">
        <v>2</v>
      </c>
      <c r="M28" s="4">
        <f>$C$4</f>
        <v>2000</v>
      </c>
      <c r="N28" s="4">
        <f>$C$5</f>
        <v>3000</v>
      </c>
      <c r="O28" s="10">
        <f>M27/O29</f>
        <v>2322.3889295969366</v>
      </c>
      <c r="Q28" s="9" t="s">
        <v>2</v>
      </c>
      <c r="R28" s="4">
        <f>$C$4</f>
        <v>2000</v>
      </c>
      <c r="S28" s="4">
        <f>$C$5</f>
        <v>3000</v>
      </c>
      <c r="T28" s="10">
        <f>R27/T29</f>
        <v>2148.591731740587</v>
      </c>
      <c r="V28" t="s">
        <v>55</v>
      </c>
      <c r="W28">
        <f>$C$2/$C$3*28</f>
        <v>16800</v>
      </c>
    </row>
    <row r="29" spans="2:23" x14ac:dyDescent="0.25">
      <c r="B29" s="9"/>
      <c r="C29" s="5">
        <f>C27/C28</f>
        <v>5.0999999999999996</v>
      </c>
      <c r="D29" s="5">
        <f>C27/D28</f>
        <v>3.4</v>
      </c>
      <c r="E29" s="11">
        <f>(((E30/12)^2)/4)*PI()</f>
        <v>4.2760566673861078</v>
      </c>
      <c r="F29" s="2"/>
      <c r="G29" s="9"/>
      <c r="H29" s="5">
        <f>H27/H28</f>
        <v>5.4</v>
      </c>
      <c r="I29" s="5">
        <f>H27/I28</f>
        <v>3.6</v>
      </c>
      <c r="J29" s="11">
        <f>(((J30/12)^2)/4)*PI()</f>
        <v>4.908738521234052</v>
      </c>
      <c r="L29" s="9"/>
      <c r="M29" s="5">
        <f>M27/M28</f>
        <v>5.7</v>
      </c>
      <c r="N29" s="5">
        <f>M27/N28</f>
        <v>3.8</v>
      </c>
      <c r="O29" s="11">
        <f>(((O30/12)^2)/4)*PI()</f>
        <v>4.908738521234052</v>
      </c>
      <c r="Q29" s="9"/>
      <c r="R29" s="5">
        <f>R27/R28</f>
        <v>6</v>
      </c>
      <c r="S29" s="5">
        <f>R27/S28</f>
        <v>4</v>
      </c>
      <c r="T29" s="11">
        <f>(((T30/12)^2)/4)*PI()</f>
        <v>5.5850536063818543</v>
      </c>
      <c r="V29" t="s">
        <v>56</v>
      </c>
      <c r="W29">
        <f>$C$2/$C$3*29</f>
        <v>17400</v>
      </c>
    </row>
    <row r="30" spans="2:23" ht="15.75" thickBot="1" x14ac:dyDescent="0.3">
      <c r="B30" s="12"/>
      <c r="C30" s="13">
        <f>SQRT(4*C29/(PI()))*12</f>
        <v>30.578867239541484</v>
      </c>
      <c r="D30" s="13">
        <f>SQRT(4*D29/(PI()))*12</f>
        <v>24.967540549728476</v>
      </c>
      <c r="E30" s="14">
        <f>EVEN(AVERAGE(C30:D30))</f>
        <v>28</v>
      </c>
      <c r="F30" s="2"/>
      <c r="G30" s="12"/>
      <c r="H30" s="13">
        <f>SQRT(4*H29/(PI()))*12</f>
        <v>31.465394801051879</v>
      </c>
      <c r="I30" s="13">
        <f>SQRT(4*I29/(PI()))*12</f>
        <v>25.691387272599904</v>
      </c>
      <c r="J30" s="14">
        <f>EVEN(AVERAGE(H30:I30))</f>
        <v>30</v>
      </c>
      <c r="L30" s="12"/>
      <c r="M30" s="13">
        <f>SQRT(4*M29/(PI()))*12</f>
        <v>32.327620053425235</v>
      </c>
      <c r="N30" s="13">
        <f>SQRT(4*N29/(PI()))*12</f>
        <v>26.395391243152297</v>
      </c>
      <c r="O30" s="14">
        <f>EVEN(AVERAGE(M30:N30))</f>
        <v>30</v>
      </c>
      <c r="Q30" s="12"/>
      <c r="R30" s="13">
        <f>SQRT(4*R29/(PI()))*12</f>
        <v>33.167438349248208</v>
      </c>
      <c r="S30" s="13">
        <f>SQRT(4*S29/(PI()))*12</f>
        <v>27.081100010292303</v>
      </c>
      <c r="T30" s="14">
        <f>EVEN(AVERAGE(R30:S30))</f>
        <v>32</v>
      </c>
      <c r="V30" t="s">
        <v>57</v>
      </c>
      <c r="W30">
        <f>$C$2/$C$3*30</f>
        <v>18000</v>
      </c>
    </row>
    <row r="31" spans="2:23" ht="15.75" thickBot="1" x14ac:dyDescent="0.3">
      <c r="V31" t="s">
        <v>58</v>
      </c>
      <c r="W31">
        <f>$C$2/$C$3*31</f>
        <v>18600</v>
      </c>
    </row>
    <row r="32" spans="2:23" x14ac:dyDescent="0.25">
      <c r="B32" s="6" t="s">
        <v>30</v>
      </c>
      <c r="C32" s="7">
        <f>W21</f>
        <v>12600</v>
      </c>
      <c r="D32" s="7"/>
      <c r="E32" s="8"/>
      <c r="F32" s="1"/>
      <c r="G32" s="6" t="s">
        <v>31</v>
      </c>
      <c r="H32" s="7">
        <f>W22</f>
        <v>13200</v>
      </c>
      <c r="I32" s="7"/>
      <c r="J32" s="8"/>
      <c r="L32" s="6" t="s">
        <v>32</v>
      </c>
      <c r="M32" s="7">
        <f>W23</f>
        <v>13800</v>
      </c>
      <c r="N32" s="7"/>
      <c r="O32" s="8"/>
      <c r="Q32" s="6" t="s">
        <v>33</v>
      </c>
      <c r="R32" s="7">
        <f>W24</f>
        <v>14400</v>
      </c>
      <c r="S32" s="7"/>
      <c r="T32" s="8"/>
      <c r="V32" t="s">
        <v>59</v>
      </c>
      <c r="W32">
        <f>$C$2/$C$3*32</f>
        <v>19200</v>
      </c>
    </row>
    <row r="33" spans="2:23" x14ac:dyDescent="0.25">
      <c r="B33" s="9" t="s">
        <v>2</v>
      </c>
      <c r="C33" s="4">
        <f>$C$4</f>
        <v>2000</v>
      </c>
      <c r="D33" s="4">
        <f>$C$5</f>
        <v>3000</v>
      </c>
      <c r="E33" s="10">
        <f>C32/E34</f>
        <v>2256.0213183276164</v>
      </c>
      <c r="F33" s="1"/>
      <c r="G33" s="9" t="s">
        <v>2</v>
      </c>
      <c r="H33" s="4">
        <f>$C$4</f>
        <v>2000</v>
      </c>
      <c r="I33" s="4">
        <f>$C$5</f>
        <v>3000</v>
      </c>
      <c r="J33" s="10">
        <f>H32/J34</f>
        <v>2363.4509049146459</v>
      </c>
      <c r="L33" s="9" t="s">
        <v>2</v>
      </c>
      <c r="M33" s="4">
        <f>$C$4</f>
        <v>2000</v>
      </c>
      <c r="N33" s="4">
        <f>$C$5</f>
        <v>3000</v>
      </c>
      <c r="O33" s="10">
        <f>M32/O34</f>
        <v>2188.7384284582313</v>
      </c>
      <c r="Q33" s="9" t="s">
        <v>2</v>
      </c>
      <c r="R33" s="4">
        <f>$C$4</f>
        <v>2000</v>
      </c>
      <c r="S33" s="4">
        <f>$C$5</f>
        <v>3000</v>
      </c>
      <c r="T33" s="10">
        <f>R32/T34</f>
        <v>2283.9009688259803</v>
      </c>
      <c r="V33" t="s">
        <v>60</v>
      </c>
      <c r="W33">
        <f>$C$2/$C$3*33</f>
        <v>19800</v>
      </c>
    </row>
    <row r="34" spans="2:23" x14ac:dyDescent="0.25">
      <c r="B34" s="9"/>
      <c r="C34" s="5">
        <f>C32/C33</f>
        <v>6.3</v>
      </c>
      <c r="D34" s="5">
        <f>C32/D33</f>
        <v>4.2</v>
      </c>
      <c r="E34" s="11">
        <f>(((E35/12)^2)/4)*PI()</f>
        <v>5.5850536063818543</v>
      </c>
      <c r="F34" s="2"/>
      <c r="G34" s="9"/>
      <c r="H34" s="5">
        <f>H32/H33</f>
        <v>6.6</v>
      </c>
      <c r="I34" s="5">
        <f>H32/I33</f>
        <v>4.4000000000000004</v>
      </c>
      <c r="J34" s="11">
        <f>(((J35/12)^2)/4)*PI()</f>
        <v>5.5850536063818543</v>
      </c>
      <c r="L34" s="9"/>
      <c r="M34" s="5">
        <f>M32/M33</f>
        <v>6.9</v>
      </c>
      <c r="N34" s="5">
        <f>M32/N33</f>
        <v>4.5999999999999996</v>
      </c>
      <c r="O34" s="11">
        <f>(((O35/12)^2)/4)*PI()</f>
        <v>6.3050019228295158</v>
      </c>
      <c r="Q34" s="9"/>
      <c r="R34" s="5">
        <f>R32/R33</f>
        <v>7.2</v>
      </c>
      <c r="S34" s="5">
        <f>R32/S33</f>
        <v>4.8</v>
      </c>
      <c r="T34" s="11">
        <f>(((T35/12)^2)/4)*PI()</f>
        <v>6.3050019228295158</v>
      </c>
      <c r="V34" t="s">
        <v>61</v>
      </c>
      <c r="W34">
        <f>$C$2/$C$3*34</f>
        <v>20400</v>
      </c>
    </row>
    <row r="35" spans="2:23" ht="15.75" thickBot="1" x14ac:dyDescent="0.3">
      <c r="B35" s="12"/>
      <c r="C35" s="13">
        <f>SQRT(4*C34/(PI()))*12</f>
        <v>33.986510779774669</v>
      </c>
      <c r="D35" s="13">
        <f>SQRT(4*D34/(PI()))*12</f>
        <v>27.749869849349324</v>
      </c>
      <c r="E35" s="14">
        <f>EVEN(AVERAGE(C35:D35))</f>
        <v>32</v>
      </c>
      <c r="F35" s="2"/>
      <c r="G35" s="12"/>
      <c r="H35" s="13">
        <f>SQRT(4*H34/(PI()))*12</f>
        <v>34.786302811829522</v>
      </c>
      <c r="I35" s="13">
        <f>SQRT(4*I34/(PI()))*12</f>
        <v>28.402897308975348</v>
      </c>
      <c r="J35" s="14">
        <f>EVEN(AVERAGE(H35:I35))</f>
        <v>32</v>
      </c>
      <c r="L35" s="12"/>
      <c r="M35" s="13">
        <f>SQRT(4*M34/(PI()))*12</f>
        <v>35.568115098341352</v>
      </c>
      <c r="N35" s="13">
        <f>SQRT(4*N34/(PI()))*12</f>
        <v>29.041244367839539</v>
      </c>
      <c r="O35" s="14">
        <f>EVEN(AVERAGE(M35:N35))</f>
        <v>34</v>
      </c>
      <c r="Q35" s="12"/>
      <c r="R35" s="13">
        <f>SQRT(4*R34/(PI()))*12</f>
        <v>36.333108317090307</v>
      </c>
      <c r="S35" s="13">
        <f>SQRT(4*S34/(PI()))*12</f>
        <v>29.665858715380956</v>
      </c>
      <c r="T35" s="14">
        <f>EVEN(AVERAGE(R35:S35))</f>
        <v>34</v>
      </c>
      <c r="V35" t="s">
        <v>62</v>
      </c>
      <c r="W35">
        <f>$C$2/$C$3*35</f>
        <v>21000</v>
      </c>
    </row>
    <row r="36" spans="2:23" ht="15.75" thickBot="1" x14ac:dyDescent="0.3">
      <c r="V36" t="s">
        <v>63</v>
      </c>
      <c r="W36">
        <f>$C$2/$C$3*36</f>
        <v>21600</v>
      </c>
    </row>
    <row r="37" spans="2:23" x14ac:dyDescent="0.25">
      <c r="B37" s="6" t="s">
        <v>52</v>
      </c>
      <c r="C37" s="7">
        <f>W25</f>
        <v>15000</v>
      </c>
      <c r="D37" s="7"/>
      <c r="E37" s="8"/>
      <c r="F37" s="1"/>
      <c r="G37" s="6" t="s">
        <v>53</v>
      </c>
      <c r="H37" s="7">
        <f>W26</f>
        <v>15600</v>
      </c>
      <c r="I37" s="7"/>
      <c r="J37" s="8"/>
      <c r="L37" s="6" t="s">
        <v>54</v>
      </c>
      <c r="M37" s="7">
        <f>W27</f>
        <v>16200</v>
      </c>
      <c r="N37" s="7"/>
      <c r="O37" s="8"/>
      <c r="Q37" s="6" t="s">
        <v>55</v>
      </c>
      <c r="R37" s="7">
        <f>W28</f>
        <v>16800</v>
      </c>
      <c r="S37" s="7"/>
      <c r="T37" s="8"/>
      <c r="V37" t="s">
        <v>64</v>
      </c>
      <c r="W37">
        <f>$C$2/$C$3*37</f>
        <v>22200</v>
      </c>
    </row>
    <row r="38" spans="2:23" x14ac:dyDescent="0.25">
      <c r="B38" s="9" t="s">
        <v>2</v>
      </c>
      <c r="C38" s="4">
        <f>$C$4</f>
        <v>2000</v>
      </c>
      <c r="D38" s="4">
        <f>$C$5</f>
        <v>3000</v>
      </c>
      <c r="E38" s="10">
        <f>C37/E39</f>
        <v>2379.0635091937297</v>
      </c>
      <c r="F38" s="1"/>
      <c r="G38" s="9" t="s">
        <v>2</v>
      </c>
      <c r="H38" s="4">
        <f>$C$4</f>
        <v>2000</v>
      </c>
      <c r="I38" s="4">
        <f>$C$5</f>
        <v>3000</v>
      </c>
      <c r="J38" s="10">
        <f>H37/J39</f>
        <v>2206.9485442076152</v>
      </c>
      <c r="L38" s="9" t="s">
        <v>2</v>
      </c>
      <c r="M38" s="4">
        <f>$C$4</f>
        <v>2000</v>
      </c>
      <c r="N38" s="4">
        <f>$C$5</f>
        <v>3000</v>
      </c>
      <c r="O38" s="10">
        <f>M37/O39</f>
        <v>2291.8311805232929</v>
      </c>
      <c r="Q38" s="9" t="s">
        <v>2</v>
      </c>
      <c r="R38" s="4">
        <f>$C$4</f>
        <v>2000</v>
      </c>
      <c r="S38" s="4">
        <f>$C$5</f>
        <v>3000</v>
      </c>
      <c r="T38" s="10">
        <f>R37/T39</f>
        <v>2376.7138168389706</v>
      </c>
      <c r="V38" t="s">
        <v>65</v>
      </c>
      <c r="W38">
        <f>$C$2/$C$3*38</f>
        <v>22800</v>
      </c>
    </row>
    <row r="39" spans="2:23" x14ac:dyDescent="0.25">
      <c r="B39" s="9"/>
      <c r="C39" s="5">
        <f>C37/C38</f>
        <v>7.5</v>
      </c>
      <c r="D39" s="5">
        <f>C37/D38</f>
        <v>5</v>
      </c>
      <c r="E39" s="11">
        <f>(((E40/12)^2)/4)*PI()</f>
        <v>6.3050019228295158</v>
      </c>
      <c r="F39" s="2"/>
      <c r="G39" s="9"/>
      <c r="H39" s="5">
        <f>H37/H38</f>
        <v>7.8</v>
      </c>
      <c r="I39" s="5">
        <f>H37/I38</f>
        <v>5.2</v>
      </c>
      <c r="J39" s="11">
        <f>(((J40/12)^2)/4)*PI()</f>
        <v>7.0685834705770345</v>
      </c>
      <c r="L39" s="9"/>
      <c r="M39" s="5">
        <f>M37/M38</f>
        <v>8.1</v>
      </c>
      <c r="N39" s="5">
        <f>M37/N38</f>
        <v>5.4</v>
      </c>
      <c r="O39" s="11">
        <f>(((O40/12)^2)/4)*PI()</f>
        <v>7.0685834705770345</v>
      </c>
      <c r="Q39" s="9"/>
      <c r="R39" s="5">
        <f>R37/R38</f>
        <v>8.4</v>
      </c>
      <c r="S39" s="5">
        <f>R37/S38</f>
        <v>5.6</v>
      </c>
      <c r="T39" s="11">
        <f>(((T40/12)^2)/4)*PI()</f>
        <v>7.0685834705770345</v>
      </c>
    </row>
    <row r="40" spans="2:23" ht="15.75" thickBot="1" x14ac:dyDescent="0.3">
      <c r="B40" s="12"/>
      <c r="C40" s="13">
        <f>SQRT(4*C39/(PI()))*12</f>
        <v>37.082323394226201</v>
      </c>
      <c r="D40" s="13">
        <f>SQRT(4*D39/(PI()))*12</f>
        <v>30.277590264241923</v>
      </c>
      <c r="E40" s="14">
        <f>EVEN(AVERAGE(C40:D40))</f>
        <v>34</v>
      </c>
      <c r="F40" s="2"/>
      <c r="G40" s="12"/>
      <c r="H40" s="13">
        <f>SQRT(4*H39/(PI()))*12</f>
        <v>37.816698119303524</v>
      </c>
      <c r="I40" s="13">
        <f>SQRT(4*I39/(PI()))*12</f>
        <v>30.877204716387297</v>
      </c>
      <c r="J40" s="14">
        <f>EVEN(AVERAGE(H40:I40))</f>
        <v>36</v>
      </c>
      <c r="L40" s="12"/>
      <c r="M40" s="13">
        <f>SQRT(4*M39/(PI()))*12</f>
        <v>38.537080908899853</v>
      </c>
      <c r="N40" s="13">
        <f>SQRT(4*N39/(PI()))*12</f>
        <v>31.465394801051879</v>
      </c>
      <c r="O40" s="14">
        <f>EVEN(AVERAGE(M40:N40))</f>
        <v>36</v>
      </c>
      <c r="Q40" s="12"/>
      <c r="R40" s="13">
        <f>SQRT(4*R39/(PI()))*12</f>
        <v>39.244242295038042</v>
      </c>
      <c r="S40" s="13">
        <f>SQRT(4*S39/(PI()))*12</f>
        <v>32.042789654997819</v>
      </c>
      <c r="T40" s="14">
        <f>EVEN(AVERAGE(R40:S40))</f>
        <v>36</v>
      </c>
    </row>
    <row r="41" spans="2:23" ht="15.75" thickBot="1" x14ac:dyDescent="0.3"/>
    <row r="42" spans="2:23" x14ac:dyDescent="0.25">
      <c r="B42" s="6" t="s">
        <v>56</v>
      </c>
      <c r="C42" s="7">
        <f>W29</f>
        <v>17400</v>
      </c>
      <c r="D42" s="7"/>
      <c r="E42" s="8"/>
      <c r="F42" s="1"/>
      <c r="G42" s="6" t="s">
        <v>57</v>
      </c>
      <c r="H42" s="7">
        <f>W30</f>
        <v>18000</v>
      </c>
      <c r="I42" s="7"/>
      <c r="J42" s="8"/>
      <c r="L42" s="6" t="s">
        <v>58</v>
      </c>
      <c r="M42" s="7">
        <f>W31</f>
        <v>18600</v>
      </c>
      <c r="N42" s="7"/>
      <c r="O42" s="8"/>
      <c r="Q42" s="6" t="s">
        <v>59</v>
      </c>
      <c r="R42" s="7">
        <f>W32</f>
        <v>19200</v>
      </c>
      <c r="S42" s="7"/>
      <c r="T42" s="8"/>
    </row>
    <row r="43" spans="2:23" x14ac:dyDescent="0.25">
      <c r="B43" s="9" t="s">
        <v>2</v>
      </c>
      <c r="C43" s="4">
        <f>$C$4</f>
        <v>2000</v>
      </c>
      <c r="D43" s="4">
        <f>$C$5</f>
        <v>3000</v>
      </c>
      <c r="E43" s="10">
        <f>C42/E44</f>
        <v>2209.2998637731466</v>
      </c>
      <c r="F43" s="1"/>
      <c r="G43" s="9" t="s">
        <v>2</v>
      </c>
      <c r="H43" s="4">
        <f>$C$4</f>
        <v>2000</v>
      </c>
      <c r="I43" s="4">
        <f>$C$5</f>
        <v>3000</v>
      </c>
      <c r="J43" s="10">
        <f>H42/J44</f>
        <v>2285.4826176963588</v>
      </c>
      <c r="L43" s="9" t="s">
        <v>2</v>
      </c>
      <c r="M43" s="4">
        <f>$C$4</f>
        <v>2000</v>
      </c>
      <c r="N43" s="4">
        <f>$C$5</f>
        <v>3000</v>
      </c>
      <c r="O43" s="10">
        <f>M42/O44</f>
        <v>2361.6653716195706</v>
      </c>
      <c r="Q43" s="9" t="s">
        <v>2</v>
      </c>
      <c r="R43" s="4">
        <f>$C$4</f>
        <v>2000</v>
      </c>
      <c r="S43" s="4">
        <f>$C$5</f>
        <v>3000</v>
      </c>
      <c r="T43" s="10">
        <f>R42/T44</f>
        <v>2200.157933302361</v>
      </c>
    </row>
    <row r="44" spans="2:23" x14ac:dyDescent="0.25">
      <c r="B44" s="9"/>
      <c r="C44" s="5">
        <f>C42/C43</f>
        <v>8.6999999999999993</v>
      </c>
      <c r="D44" s="5">
        <f>C42/D43</f>
        <v>5.8</v>
      </c>
      <c r="E44" s="11">
        <f>(((E45/12)^2)/4)*PI()</f>
        <v>7.8757982496244114</v>
      </c>
      <c r="F44" s="2"/>
      <c r="G44" s="9"/>
      <c r="H44" s="5">
        <f>H42/H43</f>
        <v>9</v>
      </c>
      <c r="I44" s="5">
        <f>H42/I43</f>
        <v>6</v>
      </c>
      <c r="J44" s="11">
        <f>(((J45/12)^2)/4)*PI()</f>
        <v>7.8757982496244114</v>
      </c>
      <c r="L44" s="9"/>
      <c r="M44" s="5">
        <f>M42/M43</f>
        <v>9.3000000000000007</v>
      </c>
      <c r="N44" s="5">
        <f>M42/N43</f>
        <v>6.2</v>
      </c>
      <c r="O44" s="11">
        <f>(((O45/12)^2)/4)*PI()</f>
        <v>7.8757982496244114</v>
      </c>
      <c r="Q44" s="9"/>
      <c r="R44" s="5">
        <f>R42/R43</f>
        <v>9.6</v>
      </c>
      <c r="S44" s="5">
        <f>R42/S43</f>
        <v>6.4</v>
      </c>
      <c r="T44" s="11">
        <f>(((T45/12)^2)/4)*PI()</f>
        <v>8.7266462599716483</v>
      </c>
    </row>
    <row r="45" spans="2:23" ht="15.75" thickBot="1" x14ac:dyDescent="0.3">
      <c r="B45" s="12"/>
      <c r="C45" s="13">
        <f>SQRT(4*C44/(PI()))*12</f>
        <v>39.938884581873488</v>
      </c>
      <c r="D45" s="13">
        <f>SQRT(4*D44/(PI()))*12</f>
        <v>32.609962707166773</v>
      </c>
      <c r="E45" s="14">
        <f>EVEN(AVERAGE(C45:D45))</f>
        <v>38</v>
      </c>
      <c r="F45" s="2"/>
      <c r="G45" s="12"/>
      <c r="H45" s="13">
        <f>SQRT(4*H44/(PI()))*12</f>
        <v>40.621650015438455</v>
      </c>
      <c r="I45" s="13">
        <f>SQRT(4*I44/(PI()))*12</f>
        <v>33.167438349248208</v>
      </c>
      <c r="J45" s="14">
        <f>EVEN(AVERAGE(H45:I45))</f>
        <v>38</v>
      </c>
      <c r="L45" s="12"/>
      <c r="M45" s="13">
        <f>SQRT(4*M44/(PI()))*12</f>
        <v>41.293127737062136</v>
      </c>
      <c r="N45" s="13">
        <f>SQRT(4*N44/(PI()))*12</f>
        <v>33.715697613123083</v>
      </c>
      <c r="O45" s="14">
        <f>EVEN(AVERAGE(M45:N45))</f>
        <v>38</v>
      </c>
      <c r="Q45" s="12"/>
      <c r="R45" s="13">
        <f>SQRT(4*R44/(PI()))*12</f>
        <v>41.953859734735836</v>
      </c>
      <c r="S45" s="13">
        <f>SQRT(4*S44/(PI()))*12</f>
        <v>34.255183030133203</v>
      </c>
      <c r="T45" s="14">
        <f>EVEN(AVERAGE(R45:S45))</f>
        <v>40</v>
      </c>
    </row>
    <row r="46" spans="2:23" ht="15.75" thickBot="1" x14ac:dyDescent="0.3"/>
    <row r="47" spans="2:23" x14ac:dyDescent="0.25">
      <c r="B47" s="6" t="s">
        <v>60</v>
      </c>
      <c r="C47" s="7">
        <f>W33</f>
        <v>19800</v>
      </c>
      <c r="D47" s="7"/>
      <c r="E47" s="8"/>
      <c r="F47" s="1"/>
      <c r="G47" s="6" t="s">
        <v>61</v>
      </c>
      <c r="H47" s="7">
        <f>W34</f>
        <v>20400</v>
      </c>
      <c r="I47" s="7"/>
      <c r="J47" s="8"/>
      <c r="L47" s="6" t="s">
        <v>62</v>
      </c>
      <c r="M47" s="7">
        <f>W35</f>
        <v>21000</v>
      </c>
      <c r="N47" s="7"/>
      <c r="O47" s="8"/>
      <c r="Q47" s="6" t="s">
        <v>63</v>
      </c>
      <c r="R47" s="7">
        <f>W36</f>
        <v>21600</v>
      </c>
      <c r="S47" s="7"/>
      <c r="T47" s="8"/>
    </row>
    <row r="48" spans="2:23" x14ac:dyDescent="0.25">
      <c r="B48" s="9" t="s">
        <v>2</v>
      </c>
      <c r="C48" s="4">
        <f>$C$4</f>
        <v>2000</v>
      </c>
      <c r="D48" s="4">
        <f>$C$5</f>
        <v>3000</v>
      </c>
      <c r="E48" s="10">
        <f>C47/E49</f>
        <v>2268.9128687180596</v>
      </c>
      <c r="F48" s="1"/>
      <c r="G48" s="9" t="s">
        <v>2</v>
      </c>
      <c r="H48" s="4">
        <f>$C$4</f>
        <v>2000</v>
      </c>
      <c r="I48" s="4">
        <f>$C$5</f>
        <v>3000</v>
      </c>
      <c r="J48" s="10">
        <f>H47/J49</f>
        <v>2337.6678041337586</v>
      </c>
      <c r="L48" s="9" t="s">
        <v>2</v>
      </c>
      <c r="M48" s="4">
        <f>$C$4</f>
        <v>2000</v>
      </c>
      <c r="N48" s="4">
        <f>$C$5</f>
        <v>3000</v>
      </c>
      <c r="O48" s="10">
        <f>M47/O49</f>
        <v>2406.4227395494572</v>
      </c>
      <c r="Q48" s="9" t="s">
        <v>2</v>
      </c>
      <c r="R48" s="4">
        <f>$C$4</f>
        <v>2000</v>
      </c>
      <c r="S48" s="4">
        <f>$C$5</f>
        <v>3000</v>
      </c>
      <c r="T48" s="10">
        <f>R47/T49</f>
        <v>2245.0591156146543</v>
      </c>
    </row>
    <row r="49" spans="2:22" x14ac:dyDescent="0.25">
      <c r="B49" s="9"/>
      <c r="C49" s="5">
        <f>C47/C48</f>
        <v>9.9</v>
      </c>
      <c r="D49" s="5">
        <f>C47/D48</f>
        <v>6.6</v>
      </c>
      <c r="E49" s="11">
        <f>(((E50/12)^2)/4)*PI()</f>
        <v>8.7266462599716483</v>
      </c>
      <c r="F49" s="2"/>
      <c r="G49" s="9"/>
      <c r="H49" s="5">
        <f>H47/H48</f>
        <v>10.199999999999999</v>
      </c>
      <c r="I49" s="5">
        <f>H47/I48</f>
        <v>6.8</v>
      </c>
      <c r="J49" s="11">
        <f>(((J50/12)^2)/4)*PI()</f>
        <v>8.7266462599716483</v>
      </c>
      <c r="L49" s="9"/>
      <c r="M49" s="5">
        <f>M47/M48</f>
        <v>10.5</v>
      </c>
      <c r="N49" s="5">
        <f>M47/N48</f>
        <v>7</v>
      </c>
      <c r="O49" s="11">
        <f>(((O50/12)^2)/4)*PI()</f>
        <v>8.7266462599716483</v>
      </c>
      <c r="Q49" s="9"/>
      <c r="R49" s="5">
        <f>R47/R48</f>
        <v>10.8</v>
      </c>
      <c r="S49" s="5">
        <f>R47/S48</f>
        <v>7.2</v>
      </c>
      <c r="T49" s="11">
        <f>(((T50/12)^2)/4)*PI()</f>
        <v>9.6211275016187408</v>
      </c>
    </row>
    <row r="50" spans="2:22" ht="15.75" thickBot="1" x14ac:dyDescent="0.3">
      <c r="B50" s="12"/>
      <c r="C50" s="13">
        <f>SQRT(4*C49/(PI()))*12</f>
        <v>42.604345963463025</v>
      </c>
      <c r="D50" s="13">
        <f>SQRT(4*D49/(PI()))*12</f>
        <v>34.786302811829522</v>
      </c>
      <c r="E50" s="14">
        <f>EVEN(AVERAGE(C50:D50))</f>
        <v>40</v>
      </c>
      <c r="F50" s="2"/>
      <c r="G50" s="12"/>
      <c r="H50" s="13">
        <f>SQRT(4*H49/(PI()))*12</f>
        <v>43.245048772165894</v>
      </c>
      <c r="I50" s="13">
        <f>SQRT(4*I49/(PI()))*12</f>
        <v>35.309434464526205</v>
      </c>
      <c r="J50" s="14">
        <f>EVEN(AVERAGE(H50:I50))</f>
        <v>40</v>
      </c>
      <c r="L50" s="12"/>
      <c r="M50" s="13">
        <f>SQRT(4*M49/(PI()))*12</f>
        <v>43.876396748588718</v>
      </c>
      <c r="N50" s="13">
        <f>SQRT(4*N49/(PI()))*12</f>
        <v>35.824927928651078</v>
      </c>
      <c r="O50" s="14">
        <f>EVEN(AVERAGE(M50:N50))</f>
        <v>40</v>
      </c>
      <c r="Q50" s="12"/>
      <c r="R50" s="13">
        <f>SQRT(4*R49/(PI()))*12</f>
        <v>44.498788073071438</v>
      </c>
      <c r="S50" s="13">
        <f>SQRT(4*S49/(PI()))*12</f>
        <v>36.333108317090307</v>
      </c>
      <c r="T50" s="14">
        <f>EVEN(AVERAGE(R50:S50))</f>
        <v>42</v>
      </c>
    </row>
    <row r="51" spans="2:22" ht="15.75" thickBot="1" x14ac:dyDescent="0.3"/>
    <row r="52" spans="2:22" x14ac:dyDescent="0.25">
      <c r="B52" s="6" t="s">
        <v>64</v>
      </c>
      <c r="C52" s="7">
        <f>W37</f>
        <v>22200</v>
      </c>
      <c r="D52" s="7"/>
      <c r="E52" s="8"/>
      <c r="F52" s="1"/>
      <c r="G52" s="6" t="s">
        <v>65</v>
      </c>
      <c r="H52" s="7">
        <f>W38</f>
        <v>22800</v>
      </c>
      <c r="I52" s="7"/>
      <c r="J52" s="8"/>
      <c r="L52" s="34"/>
      <c r="M52" s="35"/>
      <c r="N52" s="35"/>
      <c r="O52" s="35"/>
      <c r="P52" s="34"/>
      <c r="Q52" s="34"/>
      <c r="R52" s="35"/>
      <c r="S52" s="35"/>
      <c r="T52" s="35"/>
    </row>
    <row r="53" spans="2:22" x14ac:dyDescent="0.25">
      <c r="B53" s="9" t="s">
        <v>2</v>
      </c>
      <c r="C53" s="4">
        <f>$C$4</f>
        <v>2000</v>
      </c>
      <c r="D53" s="4">
        <f>$C$5</f>
        <v>3000</v>
      </c>
      <c r="E53" s="10">
        <f>C52/E54</f>
        <v>2307.4218688261726</v>
      </c>
      <c r="F53" s="1"/>
      <c r="G53" s="9" t="s">
        <v>2</v>
      </c>
      <c r="H53" s="4">
        <f>$C$4</f>
        <v>2000</v>
      </c>
      <c r="I53" s="4">
        <f>$C$5</f>
        <v>3000</v>
      </c>
      <c r="J53" s="10">
        <f>H52/J54</f>
        <v>2369.784622037691</v>
      </c>
      <c r="L53" s="34"/>
      <c r="M53" s="35"/>
      <c r="N53" s="35"/>
      <c r="O53" s="35"/>
      <c r="P53" s="34"/>
      <c r="Q53" s="34"/>
      <c r="R53" s="35"/>
      <c r="S53" s="35"/>
      <c r="T53" s="35"/>
    </row>
    <row r="54" spans="2:22" x14ac:dyDescent="0.25">
      <c r="B54" s="9"/>
      <c r="C54" s="5">
        <f>C52/C53</f>
        <v>11.1</v>
      </c>
      <c r="D54" s="5">
        <f>C52/D53</f>
        <v>7.4</v>
      </c>
      <c r="E54" s="11">
        <f>(((E55/12)^2)/4)*PI()</f>
        <v>9.6211275016187408</v>
      </c>
      <c r="F54" s="2"/>
      <c r="G54" s="9"/>
      <c r="H54" s="5">
        <f>H52/H53</f>
        <v>11.4</v>
      </c>
      <c r="I54" s="5">
        <f>H52/I53</f>
        <v>7.6</v>
      </c>
      <c r="J54" s="11">
        <f>(((J55/12)^2)/4)*PI()</f>
        <v>9.6211275016187408</v>
      </c>
      <c r="L54" s="34"/>
      <c r="M54" s="36"/>
      <c r="N54" s="36"/>
      <c r="O54" s="36"/>
      <c r="P54" s="34"/>
      <c r="Q54" s="34"/>
      <c r="R54" s="36"/>
      <c r="S54" s="36"/>
      <c r="T54" s="36"/>
    </row>
    <row r="55" spans="2:22" ht="15.75" thickBot="1" x14ac:dyDescent="0.3">
      <c r="B55" s="12"/>
      <c r="C55" s="13">
        <f>SQRT(4*C54/(PI()))*12</f>
        <v>45.112593455760049</v>
      </c>
      <c r="D55" s="13">
        <f>SQRT(4*D54/(PI()))*12</f>
        <v>36.834278313410586</v>
      </c>
      <c r="E55" s="14">
        <f>EVEN(AVERAGE(C55:D55))</f>
        <v>42</v>
      </c>
      <c r="F55" s="2"/>
      <c r="G55" s="12"/>
      <c r="H55" s="13">
        <f>SQRT(4*H54/(PI()))*12</f>
        <v>45.718158718798414</v>
      </c>
      <c r="I55" s="13">
        <f>SQRT(4*I54/(PI()))*12</f>
        <v>37.328720280210014</v>
      </c>
      <c r="J55" s="14">
        <f>EVEN(AVERAGE(H55:I55))</f>
        <v>42</v>
      </c>
      <c r="L55" s="34"/>
      <c r="M55" s="36"/>
      <c r="N55" s="36"/>
      <c r="O55" s="37"/>
      <c r="P55" s="34"/>
      <c r="Q55" s="34"/>
      <c r="R55" s="36"/>
      <c r="S55" s="36"/>
      <c r="T55" s="37"/>
    </row>
    <row r="56" spans="2:22" x14ac:dyDescent="0.25">
      <c r="L56" s="34"/>
      <c r="M56" s="34"/>
      <c r="N56" s="34"/>
      <c r="O56" s="34"/>
      <c r="P56" s="34"/>
      <c r="Q56" s="34"/>
      <c r="R56" s="34"/>
      <c r="S56" s="34"/>
      <c r="T56" s="34"/>
    </row>
    <row r="57" spans="2:22" x14ac:dyDescent="0.25">
      <c r="L57" s="34"/>
      <c r="M57" s="34"/>
      <c r="N57" s="34"/>
      <c r="O57" s="34"/>
      <c r="P57" s="34"/>
      <c r="Q57" s="34"/>
      <c r="R57" s="34"/>
      <c r="S57" s="34"/>
      <c r="T57" s="34"/>
    </row>
    <row r="62" spans="2:22" x14ac:dyDescent="0.25">
      <c r="U62" s="34"/>
      <c r="V62" s="34"/>
    </row>
    <row r="63" spans="2:22" x14ac:dyDescent="0.25">
      <c r="U63" s="34"/>
      <c r="V63" s="34"/>
    </row>
    <row r="64" spans="2:22" x14ac:dyDescent="0.25">
      <c r="U64" s="34"/>
      <c r="V64" s="34"/>
    </row>
    <row r="65" spans="21:22" x14ac:dyDescent="0.25">
      <c r="U65" s="34"/>
      <c r="V65" s="34"/>
    </row>
    <row r="66" spans="21:22" x14ac:dyDescent="0.25">
      <c r="U66" s="34"/>
      <c r="V66" s="34"/>
    </row>
    <row r="67" spans="21:22" x14ac:dyDescent="0.25">
      <c r="U67" s="34"/>
      <c r="V67" s="34"/>
    </row>
  </sheetData>
  <mergeCells count="1"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R29"/>
  <sheetViews>
    <sheetView workbookViewId="0">
      <selection activeCell="G4" sqref="G4"/>
    </sheetView>
  </sheetViews>
  <sheetFormatPr defaultRowHeight="15" x14ac:dyDescent="0.25"/>
  <cols>
    <col min="5" max="9" width="5.42578125" style="15" customWidth="1"/>
  </cols>
  <sheetData>
    <row r="1" spans="5:18" ht="15.75" thickBot="1" x14ac:dyDescent="0.3"/>
    <row r="2" spans="5:18" x14ac:dyDescent="0.25">
      <c r="E2" s="16" t="s">
        <v>23</v>
      </c>
      <c r="F2" s="17" t="s">
        <v>24</v>
      </c>
      <c r="G2" s="17" t="s">
        <v>25</v>
      </c>
      <c r="H2" s="17" t="s">
        <v>26</v>
      </c>
      <c r="I2" s="18" t="s">
        <v>27</v>
      </c>
    </row>
    <row r="3" spans="5:18" ht="15.75" thickBot="1" x14ac:dyDescent="0.3">
      <c r="E3" s="19">
        <v>32</v>
      </c>
      <c r="F3" s="20">
        <v>30</v>
      </c>
      <c r="G3" s="20">
        <v>10</v>
      </c>
      <c r="H3" s="21">
        <f>IF(E3&gt;((G3*2)+6),E3,((G3*2)+6))</f>
        <v>32</v>
      </c>
      <c r="I3" s="22">
        <f>IF(G3&gt;=19,14.5,IF(G3&lt;=12,8.5,11.5))</f>
        <v>8.5</v>
      </c>
    </row>
    <row r="4" spans="5:18" x14ac:dyDescent="0.25">
      <c r="J4">
        <f>45/2</f>
        <v>22.5</v>
      </c>
      <c r="R4">
        <f>12*4.5</f>
        <v>54</v>
      </c>
    </row>
    <row r="5" spans="5:18" x14ac:dyDescent="0.25">
      <c r="J5">
        <f>90-J4</f>
        <v>67.5</v>
      </c>
    </row>
    <row r="10" spans="5:18" x14ac:dyDescent="0.25">
      <c r="E10" s="15">
        <v>24</v>
      </c>
      <c r="F10" s="15">
        <v>36</v>
      </c>
      <c r="G10" s="15">
        <f>F10*E10</f>
        <v>864</v>
      </c>
      <c r="H10" s="15">
        <f>G10/144</f>
        <v>6</v>
      </c>
      <c r="I10" s="15">
        <f>H10*250</f>
        <v>1500</v>
      </c>
    </row>
    <row r="29" ht="17.25" customHeigh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workbookViewId="0">
      <selection activeCell="C20" sqref="C20"/>
    </sheetView>
  </sheetViews>
  <sheetFormatPr defaultRowHeight="15" x14ac:dyDescent="0.25"/>
  <cols>
    <col min="1" max="1" width="9.140625" customWidth="1"/>
    <col min="2" max="2" width="18.5703125" bestFit="1" customWidth="1"/>
    <col min="3" max="3" width="7" bestFit="1" customWidth="1"/>
    <col min="4" max="4" width="5" bestFit="1" customWidth="1"/>
  </cols>
  <sheetData>
    <row r="1" spans="2:5" ht="15.75" thickBot="1" x14ac:dyDescent="0.3"/>
    <row r="2" spans="2:5" x14ac:dyDescent="0.25">
      <c r="B2" s="6" t="s">
        <v>39</v>
      </c>
      <c r="C2" s="27">
        <v>90</v>
      </c>
      <c r="D2" s="28" t="s">
        <v>45</v>
      </c>
      <c r="E2" s="55" t="s">
        <v>48</v>
      </c>
    </row>
    <row r="3" spans="2:5" x14ac:dyDescent="0.25">
      <c r="B3" s="9" t="s">
        <v>40</v>
      </c>
      <c r="C3" s="24">
        <v>43</v>
      </c>
      <c r="D3" s="29" t="s">
        <v>45</v>
      </c>
      <c r="E3" s="56"/>
    </row>
    <row r="4" spans="2:5" x14ac:dyDescent="0.25">
      <c r="B4" s="9" t="s">
        <v>41</v>
      </c>
      <c r="C4" s="24">
        <v>20</v>
      </c>
      <c r="D4" s="29" t="s">
        <v>45</v>
      </c>
      <c r="E4" s="56"/>
    </row>
    <row r="5" spans="2:5" x14ac:dyDescent="0.25">
      <c r="B5" s="9" t="s">
        <v>42</v>
      </c>
      <c r="C5" s="24">
        <v>8</v>
      </c>
      <c r="D5" s="29"/>
      <c r="E5" s="25" t="s">
        <v>46</v>
      </c>
    </row>
    <row r="6" spans="2:5" ht="15.75" thickBot="1" x14ac:dyDescent="0.3">
      <c r="B6" s="30" t="s">
        <v>44</v>
      </c>
      <c r="C6" s="31">
        <f>C3*C4*C2*C5/60</f>
        <v>10320</v>
      </c>
      <c r="D6" s="32" t="s">
        <v>43</v>
      </c>
      <c r="E6" s="26" t="s">
        <v>47</v>
      </c>
    </row>
    <row r="7" spans="2:5" x14ac:dyDescent="0.25">
      <c r="E7" s="23"/>
    </row>
  </sheetData>
  <mergeCells count="1">
    <mergeCell ref="E2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opLeftCell="L1" workbookViewId="0">
      <selection activeCell="Q16" sqref="Q16"/>
    </sheetView>
  </sheetViews>
  <sheetFormatPr defaultRowHeight="15" x14ac:dyDescent="0.25"/>
  <cols>
    <col min="1" max="1" width="13.85546875" bestFit="1" customWidth="1"/>
    <col min="4" max="4" width="9.140625" customWidth="1"/>
    <col min="6" max="6" width="9.140625" customWidth="1"/>
    <col min="17" max="46" width="9.140625" customWidth="1"/>
  </cols>
  <sheetData>
    <row r="1" spans="1:37" x14ac:dyDescent="0.25">
      <c r="B1" s="33" t="s">
        <v>43</v>
      </c>
      <c r="D1" s="54">
        <v>2200</v>
      </c>
      <c r="E1" s="54"/>
      <c r="F1" s="54">
        <v>3000</v>
      </c>
      <c r="G1" s="54"/>
      <c r="K1" s="54">
        <v>2200</v>
      </c>
      <c r="L1" s="54"/>
      <c r="M1" s="54">
        <v>3000</v>
      </c>
      <c r="N1" s="54"/>
      <c r="R1" s="54">
        <v>2200</v>
      </c>
      <c r="S1" s="54"/>
      <c r="T1" s="54">
        <v>3000</v>
      </c>
      <c r="U1" s="54"/>
    </row>
    <row r="2" spans="1:37" x14ac:dyDescent="0.25">
      <c r="A2" s="57" t="s">
        <v>49</v>
      </c>
      <c r="B2">
        <v>1000</v>
      </c>
      <c r="C2">
        <f t="shared" ref="C2:C9" si="0">B2*$B$11/$B$10</f>
        <v>1119.047619047619</v>
      </c>
      <c r="D2">
        <f>C2/$D$1</f>
        <v>0.5086580086580087</v>
      </c>
      <c r="E2">
        <f>SQRT(4*D2/(PI()))*12</f>
        <v>9.6571560387737811</v>
      </c>
      <c r="F2">
        <f>C2/$F$1</f>
        <v>0.37301587301587302</v>
      </c>
      <c r="G2">
        <f>SQRT(4*F2/(PI()))*12</f>
        <v>8.2698943577673099</v>
      </c>
      <c r="H2">
        <v>8</v>
      </c>
      <c r="I2">
        <f>C2/((((H2/12)^2)/4)*PI())</f>
        <v>3205.8352822796064</v>
      </c>
      <c r="J2" s="57">
        <f>SUM(C2:C3)</f>
        <v>1398.8095238095239</v>
      </c>
      <c r="K2" s="57">
        <f>J2/$K$1</f>
        <v>0.63582251082251084</v>
      </c>
      <c r="L2" s="57">
        <f t="shared" ref="L2:L8" si="1">SQRT(4*K2/(PI()))*12</f>
        <v>10.797028686010385</v>
      </c>
      <c r="M2" s="57">
        <f>J2/$M$1</f>
        <v>0.46626984126984128</v>
      </c>
      <c r="N2" s="57">
        <f t="shared" ref="N2:N8" si="2">SQRT(4*M2/(PI()))*12</f>
        <v>9.2460229753548369</v>
      </c>
      <c r="O2" s="57">
        <v>10</v>
      </c>
      <c r="P2" s="57">
        <f>J2/((((O2/12)^2)/4)*PI())</f>
        <v>2564.6682258236847</v>
      </c>
      <c r="Q2" s="57">
        <f>SUM(J2:J5)</f>
        <v>2797.6190476190477</v>
      </c>
      <c r="R2" s="57">
        <f t="shared" ref="R2" si="3">Q2/$K$1</f>
        <v>1.2716450216450217</v>
      </c>
      <c r="S2" s="57">
        <f t="shared" ref="S2" si="4">SQRT(4*R2/(PI()))*12</f>
        <v>15.269304401087243</v>
      </c>
      <c r="T2" s="57">
        <f t="shared" ref="T2" si="5">Q2/$M$1</f>
        <v>0.93253968253968256</v>
      </c>
      <c r="U2" s="57">
        <f t="shared" ref="U2" si="6">SQRT(4*T2/(PI()))*12</f>
        <v>13.075851089760047</v>
      </c>
      <c r="V2" s="57">
        <v>12</v>
      </c>
      <c r="W2" s="57">
        <f t="shared" ref="W2" si="7">Q2/((((V2/12)^2)/4)*PI())</f>
        <v>3562.0392025328961</v>
      </c>
    </row>
    <row r="3" spans="1:37" x14ac:dyDescent="0.25">
      <c r="A3" s="57"/>
      <c r="B3">
        <v>250</v>
      </c>
      <c r="C3">
        <f t="shared" si="0"/>
        <v>279.76190476190476</v>
      </c>
      <c r="D3">
        <f t="shared" ref="D3:D9" si="8">C3/$D$1</f>
        <v>0.12716450216450217</v>
      </c>
      <c r="E3">
        <f t="shared" ref="E3:E9" si="9">SQRT(4*D3/(PI()))*12</f>
        <v>4.8285780193868906</v>
      </c>
      <c r="F3">
        <f t="shared" ref="F3:F9" si="10">C3/$F$1</f>
        <v>9.3253968253968256E-2</v>
      </c>
      <c r="G3">
        <f t="shared" ref="G3:G9" si="11">SQRT(4*F3/(PI()))*12</f>
        <v>4.1349471788836549</v>
      </c>
      <c r="H3">
        <v>4</v>
      </c>
      <c r="I3">
        <f t="shared" ref="I3:I9" si="12">C3/((((H3/12)^2)/4)*PI())</f>
        <v>3205.8352822796064</v>
      </c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Y3" s="54">
        <v>2200</v>
      </c>
      <c r="Z3" s="54"/>
      <c r="AA3" s="54">
        <v>3000</v>
      </c>
      <c r="AB3" s="54"/>
    </row>
    <row r="4" spans="1:37" x14ac:dyDescent="0.25">
      <c r="A4" s="57" t="s">
        <v>49</v>
      </c>
      <c r="B4">
        <v>1000</v>
      </c>
      <c r="C4">
        <f t="shared" si="0"/>
        <v>1119.047619047619</v>
      </c>
      <c r="D4">
        <f t="shared" si="8"/>
        <v>0.5086580086580087</v>
      </c>
      <c r="E4">
        <f t="shared" si="9"/>
        <v>9.6571560387737811</v>
      </c>
      <c r="F4">
        <f t="shared" si="10"/>
        <v>0.37301587301587302</v>
      </c>
      <c r="G4">
        <f t="shared" si="11"/>
        <v>8.2698943577673099</v>
      </c>
      <c r="H4">
        <v>8</v>
      </c>
      <c r="I4">
        <f t="shared" si="12"/>
        <v>3205.8352822796064</v>
      </c>
      <c r="J4" s="57">
        <f>SUM(C4:C5)</f>
        <v>1398.8095238095239</v>
      </c>
      <c r="K4" s="57">
        <f>J4/$K$1</f>
        <v>0.63582251082251084</v>
      </c>
      <c r="L4" s="57">
        <f t="shared" si="1"/>
        <v>10.797028686010385</v>
      </c>
      <c r="M4" s="57">
        <f>J4/$M$1</f>
        <v>0.46626984126984128</v>
      </c>
      <c r="N4" s="57">
        <f t="shared" si="2"/>
        <v>9.2460229753548369</v>
      </c>
      <c r="O4" s="57">
        <v>10</v>
      </c>
      <c r="P4" s="57">
        <f>J4/((((O4/12)^2)/4)*PI())</f>
        <v>2564.6682258236847</v>
      </c>
      <c r="Q4" s="57"/>
      <c r="R4" s="57"/>
      <c r="S4" s="57"/>
      <c r="T4" s="57"/>
      <c r="U4" s="57"/>
      <c r="V4" s="57"/>
      <c r="W4" s="57"/>
      <c r="X4" s="57">
        <f>SUM(Q2:Q9)</f>
        <v>4700</v>
      </c>
      <c r="Y4" s="57">
        <f t="shared" ref="Y4" si="13">X4/$K$1</f>
        <v>2.1363636363636362</v>
      </c>
      <c r="Z4" s="57">
        <f t="shared" ref="Z4" si="14">SQRT(4*Y4/(PI()))*12</f>
        <v>19.791280493700871</v>
      </c>
      <c r="AA4" s="57">
        <f t="shared" ref="AA4" si="15">X4/$M$1</f>
        <v>1.5666666666666667</v>
      </c>
      <c r="AB4" s="57">
        <f t="shared" ref="AB4" si="16">SQRT(4*AA4/(PI()))*12</f>
        <v>16.94824006474574</v>
      </c>
      <c r="AC4" s="57">
        <v>12</v>
      </c>
      <c r="AD4" s="57">
        <f t="shared" ref="AD4" si="17">X4/((((AC4/12)^2)/4)*PI())</f>
        <v>5984.2258602552647</v>
      </c>
    </row>
    <row r="5" spans="1:37" x14ac:dyDescent="0.25">
      <c r="A5" s="57"/>
      <c r="B5">
        <v>250</v>
      </c>
      <c r="C5">
        <f t="shared" si="0"/>
        <v>279.76190476190476</v>
      </c>
      <c r="D5">
        <f t="shared" si="8"/>
        <v>0.12716450216450217</v>
      </c>
      <c r="E5">
        <f t="shared" si="9"/>
        <v>4.8285780193868906</v>
      </c>
      <c r="F5">
        <f t="shared" si="10"/>
        <v>9.3253968253968256E-2</v>
      </c>
      <c r="G5">
        <f t="shared" si="11"/>
        <v>4.1349471788836549</v>
      </c>
      <c r="H5">
        <v>4</v>
      </c>
      <c r="I5">
        <f t="shared" si="12"/>
        <v>3205.8352822796064</v>
      </c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F5" s="54">
        <v>2200</v>
      </c>
      <c r="AG5" s="54"/>
      <c r="AH5" s="54">
        <v>3000</v>
      </c>
      <c r="AI5" s="54"/>
    </row>
    <row r="6" spans="1:37" x14ac:dyDescent="0.25">
      <c r="A6" s="57" t="s">
        <v>49</v>
      </c>
      <c r="B6">
        <v>600</v>
      </c>
      <c r="C6">
        <f t="shared" si="0"/>
        <v>671.42857142857144</v>
      </c>
      <c r="D6">
        <f t="shared" si="8"/>
        <v>0.30519480519480519</v>
      </c>
      <c r="E6">
        <f t="shared" si="9"/>
        <v>7.480400901979448</v>
      </c>
      <c r="F6">
        <f t="shared" si="10"/>
        <v>0.22380952380952382</v>
      </c>
      <c r="G6">
        <f t="shared" si="11"/>
        <v>6.4058326245054946</v>
      </c>
      <c r="H6">
        <v>6</v>
      </c>
      <c r="I6">
        <f t="shared" si="12"/>
        <v>3419.55763443158</v>
      </c>
      <c r="J6" s="57">
        <f>SUM(C6:C7)</f>
        <v>951.19047619047615</v>
      </c>
      <c r="K6" s="57">
        <f>J6/$K$1</f>
        <v>0.43235930735930733</v>
      </c>
      <c r="L6" s="57">
        <f t="shared" si="1"/>
        <v>8.9034579430489345</v>
      </c>
      <c r="M6" s="57">
        <f>J6/$M$1</f>
        <v>0.31706349206349205</v>
      </c>
      <c r="N6" s="57">
        <f t="shared" si="2"/>
        <v>7.6244658688551326</v>
      </c>
      <c r="O6" s="57">
        <v>8</v>
      </c>
      <c r="P6" s="57">
        <f>J6/((((O6/12)^2)/4)*PI())</f>
        <v>2724.9599899376653</v>
      </c>
      <c r="Q6" s="57">
        <f>SUM(J6:J9)</f>
        <v>1902.3809523809523</v>
      </c>
      <c r="R6" s="57">
        <f t="shared" ref="R6" si="18">Q6/$K$1</f>
        <v>0.86471861471861466</v>
      </c>
      <c r="S6" s="57">
        <f t="shared" ref="S6" si="19">SQRT(4*R6/(PI()))*12</f>
        <v>12.591390975078262</v>
      </c>
      <c r="T6" s="57">
        <f t="shared" ref="T6" si="20">Q6/$M$1</f>
        <v>0.63412698412698409</v>
      </c>
      <c r="U6" s="57">
        <f t="shared" ref="U6" si="21">SQRT(4*T6/(PI()))*12</f>
        <v>10.782623037585694</v>
      </c>
      <c r="V6" s="57">
        <v>12</v>
      </c>
      <c r="W6" s="57">
        <f t="shared" ref="W6" si="22">Q6/((((V6/12)^2)/4)*PI())</f>
        <v>2422.1866577223691</v>
      </c>
      <c r="X6" s="57"/>
      <c r="Y6" s="57"/>
      <c r="Z6" s="57"/>
      <c r="AA6" s="57"/>
      <c r="AB6" s="57"/>
      <c r="AC6" s="57"/>
      <c r="AD6" s="57"/>
      <c r="AE6" s="57">
        <f>X4+J8</f>
        <v>5651.1904761904761</v>
      </c>
      <c r="AF6" s="57">
        <f t="shared" ref="AF6" si="23">AE6/$K$1</f>
        <v>2.5687229437229435</v>
      </c>
      <c r="AG6" s="57">
        <f t="shared" ref="AG6" si="24">SQRT(4*AF6/(PI()))*12</f>
        <v>21.701759074415737</v>
      </c>
      <c r="AH6" s="57">
        <f t="shared" ref="AH6" si="25">AE6/$M$1</f>
        <v>1.8837301587301587</v>
      </c>
      <c r="AI6" s="57">
        <f t="shared" ref="AI6" si="26">SQRT(4*AH6/(PI()))*12</f>
        <v>18.584276178468443</v>
      </c>
      <c r="AJ6" s="57">
        <v>12</v>
      </c>
      <c r="AK6" s="57">
        <f t="shared" ref="AK6" si="27">AE6/((((AJ6/12)^2)/4)*PI())</f>
        <v>7195.3191891164497</v>
      </c>
    </row>
    <row r="7" spans="1:37" x14ac:dyDescent="0.25">
      <c r="A7" s="57"/>
      <c r="B7">
        <v>250</v>
      </c>
      <c r="C7">
        <f t="shared" si="0"/>
        <v>279.76190476190476</v>
      </c>
      <c r="D7">
        <f t="shared" si="8"/>
        <v>0.12716450216450217</v>
      </c>
      <c r="E7">
        <f t="shared" si="9"/>
        <v>4.8285780193868906</v>
      </c>
      <c r="F7">
        <f t="shared" si="10"/>
        <v>9.3253968253968256E-2</v>
      </c>
      <c r="G7">
        <f t="shared" si="11"/>
        <v>4.1349471788836549</v>
      </c>
      <c r="H7">
        <v>4</v>
      </c>
      <c r="I7">
        <f t="shared" si="12"/>
        <v>3205.8352822796064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</row>
    <row r="8" spans="1:37" x14ac:dyDescent="0.25">
      <c r="A8" s="57" t="s">
        <v>49</v>
      </c>
      <c r="B8">
        <v>600</v>
      </c>
      <c r="C8">
        <f t="shared" si="0"/>
        <v>671.42857142857144</v>
      </c>
      <c r="D8">
        <f t="shared" si="8"/>
        <v>0.30519480519480519</v>
      </c>
      <c r="E8">
        <f t="shared" si="9"/>
        <v>7.480400901979448</v>
      </c>
      <c r="F8">
        <f t="shared" si="10"/>
        <v>0.22380952380952382</v>
      </c>
      <c r="G8">
        <f t="shared" si="11"/>
        <v>6.4058326245054946</v>
      </c>
      <c r="H8">
        <v>6</v>
      </c>
      <c r="I8">
        <f t="shared" si="12"/>
        <v>3419.55763443158</v>
      </c>
      <c r="J8" s="57">
        <f>SUM(C8:C9)</f>
        <v>951.19047619047615</v>
      </c>
      <c r="K8" s="57">
        <f>J8/$K$1</f>
        <v>0.43235930735930733</v>
      </c>
      <c r="L8" s="57">
        <f t="shared" si="1"/>
        <v>8.9034579430489345</v>
      </c>
      <c r="M8" s="57">
        <f>J8/$M$1</f>
        <v>0.31706349206349205</v>
      </c>
      <c r="N8" s="57">
        <f t="shared" si="2"/>
        <v>7.6244658688551326</v>
      </c>
      <c r="O8" s="57">
        <v>8</v>
      </c>
      <c r="P8" s="57">
        <f>J8/((((O8/12)^2)/4)*PI())</f>
        <v>2724.9599899376653</v>
      </c>
      <c r="Q8" s="57"/>
      <c r="R8" s="57"/>
      <c r="S8" s="57"/>
      <c r="T8" s="57"/>
      <c r="U8" s="57"/>
      <c r="V8" s="57"/>
      <c r="W8" s="57"/>
      <c r="AE8" s="57"/>
      <c r="AF8" s="57"/>
      <c r="AG8" s="57"/>
      <c r="AH8" s="57"/>
      <c r="AI8" s="57"/>
      <c r="AJ8" s="57"/>
      <c r="AK8" s="57"/>
    </row>
    <row r="9" spans="1:37" x14ac:dyDescent="0.25">
      <c r="A9" s="57"/>
      <c r="B9">
        <v>250</v>
      </c>
      <c r="C9">
        <f t="shared" si="0"/>
        <v>279.76190476190476</v>
      </c>
      <c r="D9">
        <f t="shared" si="8"/>
        <v>0.12716450216450217</v>
      </c>
      <c r="E9">
        <f t="shared" si="9"/>
        <v>4.8285780193868906</v>
      </c>
      <c r="F9">
        <f t="shared" si="10"/>
        <v>9.3253968253968256E-2</v>
      </c>
      <c r="G9">
        <f t="shared" si="11"/>
        <v>4.1349471788836549</v>
      </c>
      <c r="H9">
        <v>4</v>
      </c>
      <c r="I9">
        <f t="shared" si="12"/>
        <v>3205.8352822796064</v>
      </c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AE9" s="57"/>
      <c r="AF9" s="57"/>
      <c r="AG9" s="57"/>
      <c r="AH9" s="57"/>
      <c r="AI9" s="57"/>
      <c r="AJ9" s="57"/>
      <c r="AK9" s="57"/>
    </row>
    <row r="10" spans="1:37" x14ac:dyDescent="0.25">
      <c r="A10" t="s">
        <v>50</v>
      </c>
      <c r="B10">
        <v>2100</v>
      </c>
    </row>
    <row r="11" spans="1:37" x14ac:dyDescent="0.25">
      <c r="A11" t="s">
        <v>51</v>
      </c>
      <c r="B11">
        <v>2350</v>
      </c>
      <c r="G11">
        <f>150*0.04</f>
        <v>6</v>
      </c>
    </row>
  </sheetData>
  <mergeCells count="70">
    <mergeCell ref="L6:L7"/>
    <mergeCell ref="Q6:Q9"/>
    <mergeCell ref="R6:R9"/>
    <mergeCell ref="S6:S9"/>
    <mergeCell ref="T6:T9"/>
    <mergeCell ref="M6:M7"/>
    <mergeCell ref="N6:N7"/>
    <mergeCell ref="O6:O7"/>
    <mergeCell ref="P6:P7"/>
    <mergeCell ref="P8:P9"/>
    <mergeCell ref="L8:L9"/>
    <mergeCell ref="M8:M9"/>
    <mergeCell ref="N8:N9"/>
    <mergeCell ref="O8:O9"/>
    <mergeCell ref="Q2:Q5"/>
    <mergeCell ref="R2:R5"/>
    <mergeCell ref="M1:N1"/>
    <mergeCell ref="L2:L3"/>
    <mergeCell ref="M2:M3"/>
    <mergeCell ref="N2:N3"/>
    <mergeCell ref="O2:O3"/>
    <mergeCell ref="P2:P3"/>
    <mergeCell ref="L4:L5"/>
    <mergeCell ref="M4:M5"/>
    <mergeCell ref="N4:N5"/>
    <mergeCell ref="O4:O5"/>
    <mergeCell ref="P4:P5"/>
    <mergeCell ref="R1:S1"/>
    <mergeCell ref="S2:S5"/>
    <mergeCell ref="D1:E1"/>
    <mergeCell ref="F1:G1"/>
    <mergeCell ref="K1:L1"/>
    <mergeCell ref="J2:J3"/>
    <mergeCell ref="K2:K3"/>
    <mergeCell ref="A2:A3"/>
    <mergeCell ref="A4:A5"/>
    <mergeCell ref="A6:A7"/>
    <mergeCell ref="A8:A9"/>
    <mergeCell ref="K6:K7"/>
    <mergeCell ref="J4:J5"/>
    <mergeCell ref="K4:K5"/>
    <mergeCell ref="J6:J7"/>
    <mergeCell ref="J8:J9"/>
    <mergeCell ref="K8:K9"/>
    <mergeCell ref="T1:U1"/>
    <mergeCell ref="Y3:Z3"/>
    <mergeCell ref="AA3:AB3"/>
    <mergeCell ref="X4:X7"/>
    <mergeCell ref="Y4:Y7"/>
    <mergeCell ref="Z4:Z7"/>
    <mergeCell ref="AA4:AA7"/>
    <mergeCell ref="AB4:AB7"/>
    <mergeCell ref="W2:W5"/>
    <mergeCell ref="T2:T5"/>
    <mergeCell ref="U2:U5"/>
    <mergeCell ref="V2:V5"/>
    <mergeCell ref="V6:V9"/>
    <mergeCell ref="W6:W9"/>
    <mergeCell ref="U6:U9"/>
    <mergeCell ref="AJ6:AJ9"/>
    <mergeCell ref="AK6:AK9"/>
    <mergeCell ref="AC4:AC7"/>
    <mergeCell ref="AD4:AD7"/>
    <mergeCell ref="AF5:AG5"/>
    <mergeCell ref="AH5:AI5"/>
    <mergeCell ref="AE6:AE9"/>
    <mergeCell ref="AF6:AF9"/>
    <mergeCell ref="AG6:AG9"/>
    <mergeCell ref="AH6:AH9"/>
    <mergeCell ref="AI6:AI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3"/>
  <sheetViews>
    <sheetView workbookViewId="0">
      <selection activeCell="B12" sqref="B12"/>
    </sheetView>
  </sheetViews>
  <sheetFormatPr defaultRowHeight="15" x14ac:dyDescent="0.25"/>
  <cols>
    <col min="1" max="1" width="8.85546875" bestFit="1" customWidth="1"/>
    <col min="2" max="2" width="6" bestFit="1" customWidth="1"/>
    <col min="3" max="3" width="5" bestFit="1" customWidth="1"/>
    <col min="4" max="4" width="5.5703125" bestFit="1" customWidth="1"/>
    <col min="5" max="5" width="4.5703125" bestFit="1" customWidth="1"/>
    <col min="6" max="6" width="5.5703125" bestFit="1" customWidth="1"/>
    <col min="7" max="7" width="4.5703125" bestFit="1" customWidth="1"/>
    <col min="8" max="8" width="3" bestFit="1" customWidth="1"/>
    <col min="9" max="9" width="6" bestFit="1" customWidth="1"/>
    <col min="10" max="10" width="5" bestFit="1" customWidth="1"/>
    <col min="11" max="11" width="5.5703125" bestFit="1" customWidth="1"/>
    <col min="12" max="12" width="3" bestFit="1" customWidth="1"/>
    <col min="13" max="13" width="5.5703125" bestFit="1" customWidth="1"/>
    <col min="14" max="14" width="3" bestFit="1" customWidth="1"/>
    <col min="15" max="15" width="3" customWidth="1"/>
    <col min="16" max="16" width="6" bestFit="1" customWidth="1"/>
    <col min="17" max="17" width="8.5703125" hidden="1" customWidth="1"/>
    <col min="18" max="18" width="5.5703125" hidden="1" customWidth="1"/>
    <col min="19" max="19" width="6.5703125" hidden="1" customWidth="1"/>
    <col min="20" max="20" width="5.5703125" hidden="1" customWidth="1"/>
    <col min="21" max="22" width="6.5703125" hidden="1" customWidth="1"/>
    <col min="23" max="24" width="8.5703125" hidden="1" customWidth="1"/>
    <col min="25" max="25" width="5.5703125" hidden="1" customWidth="1"/>
    <col min="26" max="26" width="6.5703125" hidden="1" customWidth="1"/>
    <col min="27" max="27" width="5.5703125" hidden="1" customWidth="1"/>
    <col min="28" max="29" width="6.5703125" hidden="1" customWidth="1"/>
    <col min="30" max="31" width="8.5703125" hidden="1" customWidth="1"/>
    <col min="32" max="32" width="5.5703125" hidden="1" customWidth="1"/>
    <col min="33" max="33" width="6.5703125" hidden="1" customWidth="1"/>
    <col min="34" max="34" width="5.5703125" hidden="1" customWidth="1"/>
    <col min="35" max="36" width="6.5703125" hidden="1" customWidth="1"/>
    <col min="37" max="38" width="8.5703125" hidden="1" customWidth="1"/>
    <col min="39" max="39" width="5.5703125" hidden="1" customWidth="1"/>
    <col min="40" max="40" width="6.5703125" hidden="1" customWidth="1"/>
    <col min="41" max="41" width="5.5703125" hidden="1" customWidth="1"/>
    <col min="42" max="43" width="6.5703125" hidden="1" customWidth="1"/>
    <col min="44" max="44" width="8.5703125" hidden="1" customWidth="1"/>
    <col min="45" max="45" width="9.5703125" customWidth="1"/>
    <col min="46" max="46" width="5.5703125" customWidth="1"/>
    <col min="47" max="47" width="6.5703125" customWidth="1"/>
    <col min="48" max="48" width="5.5703125" customWidth="1"/>
    <col min="49" max="50" width="6.5703125" customWidth="1"/>
    <col min="51" max="51" width="8.5703125" customWidth="1"/>
    <col min="52" max="52" width="9.5703125" bestFit="1" customWidth="1"/>
    <col min="53" max="53" width="5.5703125" bestFit="1" customWidth="1"/>
    <col min="54" max="54" width="6.5703125" bestFit="1" customWidth="1"/>
    <col min="55" max="55" width="5.5703125" bestFit="1" customWidth="1"/>
    <col min="56" max="57" width="6.5703125" bestFit="1" customWidth="1"/>
    <col min="58" max="59" width="9.5703125" bestFit="1" customWidth="1"/>
    <col min="60" max="60" width="5.5703125" bestFit="1" customWidth="1"/>
    <col min="61" max="61" width="6.5703125" bestFit="1" customWidth="1"/>
    <col min="62" max="62" width="5.5703125" bestFit="1" customWidth="1"/>
    <col min="63" max="64" width="6.5703125" bestFit="1" customWidth="1"/>
    <col min="65" max="65" width="8.5703125" bestFit="1" customWidth="1"/>
    <col min="66" max="66" width="9.5703125" bestFit="1" customWidth="1"/>
    <col min="67" max="67" width="5.5703125" bestFit="1" customWidth="1"/>
    <col min="68" max="68" width="6.5703125" bestFit="1" customWidth="1"/>
    <col min="69" max="69" width="5.5703125" bestFit="1" customWidth="1"/>
    <col min="70" max="71" width="6.5703125" bestFit="1" customWidth="1"/>
    <col min="72" max="72" width="8.5703125" bestFit="1" customWidth="1"/>
    <col min="73" max="73" width="9.5703125" bestFit="1" customWidth="1"/>
    <col min="80" max="80" width="9.5703125" bestFit="1" customWidth="1"/>
  </cols>
  <sheetData>
    <row r="1" spans="1:79" x14ac:dyDescent="0.25">
      <c r="B1" s="39" t="s">
        <v>43</v>
      </c>
      <c r="C1" s="39" t="s">
        <v>43</v>
      </c>
      <c r="D1" s="54">
        <v>2800</v>
      </c>
      <c r="E1" s="54"/>
      <c r="F1" s="54">
        <v>3200</v>
      </c>
      <c r="G1" s="54"/>
      <c r="K1" s="54">
        <v>4000</v>
      </c>
      <c r="L1" s="54"/>
      <c r="M1" s="54">
        <v>4500</v>
      </c>
      <c r="N1" s="54"/>
      <c r="Q1" t="s">
        <v>43</v>
      </c>
      <c r="R1" s="54">
        <v>2200</v>
      </c>
      <c r="S1" s="54"/>
      <c r="T1" s="54">
        <v>3000</v>
      </c>
      <c r="U1" s="54"/>
      <c r="V1" t="s">
        <v>66</v>
      </c>
      <c r="W1" t="s">
        <v>67</v>
      </c>
    </row>
    <row r="2" spans="1:79" x14ac:dyDescent="0.25">
      <c r="A2" s="40">
        <v>6</v>
      </c>
      <c r="B2">
        <v>275</v>
      </c>
      <c r="C2" s="3">
        <f>B2*$B$13/$B$12</f>
        <v>171.42857142857142</v>
      </c>
      <c r="D2" s="1">
        <f t="shared" ref="D2:D6" si="0">C2/$D$1</f>
        <v>6.1224489795918366E-2</v>
      </c>
      <c r="E2" s="41">
        <f t="shared" ref="E2:E6" si="1">SQRT(4*D2/(PI()))*12</f>
        <v>3.3504172244771651</v>
      </c>
      <c r="F2" s="1">
        <f t="shared" ref="F2:F6" si="2">C2/$F$1</f>
        <v>5.3571428571428568E-2</v>
      </c>
      <c r="G2" s="41">
        <f t="shared" ref="G2:G6" si="3">SQRT(4*F2/(PI()))*12</f>
        <v>3.134028339184908</v>
      </c>
      <c r="H2">
        <v>4</v>
      </c>
      <c r="I2" s="3">
        <f t="shared" ref="I2:I6" si="4">C2/((((H2/12)^2)/4)*PI())</f>
        <v>1964.4267261628224</v>
      </c>
      <c r="J2" s="43">
        <f t="shared" ref="J2:J6" si="5">SUM(C2:C2)</f>
        <v>171.42857142857142</v>
      </c>
      <c r="K2" s="42">
        <f t="shared" ref="K2:K6" si="6">J2/$K$1</f>
        <v>4.2857142857142858E-2</v>
      </c>
      <c r="L2" s="43">
        <f t="shared" ref="L2:L4" si="7">SQRT(4*K2/(PI()))*12</f>
        <v>2.8031601639312891</v>
      </c>
      <c r="M2" s="42">
        <f t="shared" ref="M2:M6" si="8">J2/$M$1</f>
        <v>3.8095238095238092E-2</v>
      </c>
      <c r="N2" s="43">
        <f t="shared" ref="N2:N4" si="9">SQRT(4*M2/(PI()))*12</f>
        <v>2.6428447475570778</v>
      </c>
      <c r="O2" s="43">
        <v>4</v>
      </c>
      <c r="P2" s="43">
        <f t="shared" ref="P2:P6" si="10">J2/((((O2/12)^2)/4)*PI())</f>
        <v>1964.4267261628224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44"/>
      <c r="AM2" s="44"/>
      <c r="AN2" s="44"/>
      <c r="AO2" s="44"/>
      <c r="AP2" s="44"/>
      <c r="AQ2" s="44"/>
      <c r="AR2" s="44"/>
      <c r="AS2" s="58">
        <f>J2+J3</f>
        <v>342.85714285714283</v>
      </c>
      <c r="AT2" s="58">
        <f t="shared" ref="AT2" si="11">AS2/$K$1</f>
        <v>8.5714285714285715E-2</v>
      </c>
      <c r="AU2" s="58">
        <f t="shared" ref="AU2" si="12">SQRT(4*AT2/(PI()))*12</f>
        <v>3.9642671213356175</v>
      </c>
      <c r="AV2" s="58">
        <f t="shared" ref="AV2" si="13">AS2/$M$1</f>
        <v>7.6190476190476183E-2</v>
      </c>
      <c r="AW2" s="58">
        <f t="shared" ref="AW2" si="14">SQRT(4*AV2/(PI()))*12</f>
        <v>3.7375468852417182</v>
      </c>
      <c r="AX2" s="58">
        <v>5</v>
      </c>
      <c r="AY2" s="58">
        <f t="shared" ref="AY2" si="15">AS2/((((AX2/12)^2)/4)*PI())</f>
        <v>2514.4662094884125</v>
      </c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</row>
    <row r="3" spans="1:79" x14ac:dyDescent="0.25">
      <c r="A3" s="40">
        <v>6</v>
      </c>
      <c r="B3">
        <v>275</v>
      </c>
      <c r="C3" s="3">
        <f>B3*$B$13/$B$12</f>
        <v>171.42857142857142</v>
      </c>
      <c r="D3" s="1">
        <f t="shared" si="0"/>
        <v>6.1224489795918366E-2</v>
      </c>
      <c r="E3" s="41">
        <f t="shared" si="1"/>
        <v>3.3504172244771651</v>
      </c>
      <c r="F3" s="1">
        <f t="shared" si="2"/>
        <v>5.3571428571428568E-2</v>
      </c>
      <c r="G3" s="41">
        <f t="shared" si="3"/>
        <v>3.134028339184908</v>
      </c>
      <c r="H3">
        <v>4</v>
      </c>
      <c r="I3" s="3">
        <f t="shared" si="4"/>
        <v>1964.4267261628224</v>
      </c>
      <c r="J3" s="43">
        <f t="shared" si="5"/>
        <v>171.42857142857142</v>
      </c>
      <c r="K3" s="42">
        <f t="shared" si="6"/>
        <v>4.2857142857142858E-2</v>
      </c>
      <c r="L3" s="43">
        <f t="shared" si="7"/>
        <v>2.8031601639312891</v>
      </c>
      <c r="M3" s="42">
        <f t="shared" si="8"/>
        <v>3.8095238095238092E-2</v>
      </c>
      <c r="N3" s="43">
        <f t="shared" si="9"/>
        <v>2.6428447475570778</v>
      </c>
      <c r="O3" s="43">
        <v>4</v>
      </c>
      <c r="P3" s="43">
        <f t="shared" si="10"/>
        <v>1964.4267261628224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58"/>
      <c r="AT3" s="58"/>
      <c r="AU3" s="58"/>
      <c r="AV3" s="58"/>
      <c r="AW3" s="58"/>
      <c r="AX3" s="58"/>
      <c r="AY3" s="58"/>
      <c r="AZ3" s="58">
        <f>AS2+J4</f>
        <v>514.28571428571422</v>
      </c>
      <c r="BA3" s="58">
        <f t="shared" ref="BA3" si="16">AZ3/$K$1</f>
        <v>0.12857142857142856</v>
      </c>
      <c r="BB3" s="58">
        <f t="shared" ref="BB3" si="17">SQRT(4*BA3/(PI()))*12</f>
        <v>4.8552158256820945</v>
      </c>
      <c r="BC3" s="58">
        <f t="shared" ref="BC3" si="18">AZ3/$M$1</f>
        <v>0.11428571428571427</v>
      </c>
      <c r="BD3" s="58">
        <f t="shared" ref="BD3" si="19">SQRT(4*BC3/(PI()))*12</f>
        <v>4.5775413792854023</v>
      </c>
      <c r="BE3" s="58">
        <v>6</v>
      </c>
      <c r="BF3" s="58">
        <f t="shared" ref="BF3" si="20">AZ3/((((BE3/12)^2)/4)*PI())</f>
        <v>2619.2356348837629</v>
      </c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</row>
    <row r="4" spans="1:79" x14ac:dyDescent="0.25">
      <c r="A4" s="40">
        <v>6</v>
      </c>
      <c r="B4">
        <v>275</v>
      </c>
      <c r="C4" s="3">
        <f>B4*$B$13/$B$12</f>
        <v>171.42857142857142</v>
      </c>
      <c r="D4" s="1">
        <f t="shared" si="0"/>
        <v>6.1224489795918366E-2</v>
      </c>
      <c r="E4" s="41">
        <f t="shared" si="1"/>
        <v>3.3504172244771651</v>
      </c>
      <c r="F4" s="1">
        <f t="shared" si="2"/>
        <v>5.3571428571428568E-2</v>
      </c>
      <c r="G4" s="41">
        <f t="shared" si="3"/>
        <v>3.134028339184908</v>
      </c>
      <c r="H4">
        <v>4</v>
      </c>
      <c r="I4" s="3">
        <f t="shared" si="4"/>
        <v>1964.4267261628224</v>
      </c>
      <c r="J4" s="43">
        <f t="shared" si="5"/>
        <v>171.42857142857142</v>
      </c>
      <c r="K4" s="42">
        <f t="shared" si="6"/>
        <v>4.2857142857142858E-2</v>
      </c>
      <c r="L4" s="43">
        <f t="shared" si="7"/>
        <v>2.8031601639312891</v>
      </c>
      <c r="M4" s="42">
        <f t="shared" si="8"/>
        <v>3.8095238095238092E-2</v>
      </c>
      <c r="N4" s="43">
        <f t="shared" si="9"/>
        <v>2.6428447475570778</v>
      </c>
      <c r="O4" s="43">
        <v>15</v>
      </c>
      <c r="P4" s="43">
        <f t="shared" si="10"/>
        <v>139.6925671938007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58"/>
      <c r="BA4" s="58"/>
      <c r="BB4" s="58"/>
      <c r="BC4" s="58"/>
      <c r="BD4" s="58"/>
      <c r="BE4" s="58"/>
      <c r="BF4" s="58"/>
      <c r="BG4" s="58">
        <f>AZ3+J5</f>
        <v>1200</v>
      </c>
      <c r="BH4" s="58">
        <f t="shared" ref="BH4" si="21">BG4/$K$1</f>
        <v>0.3</v>
      </c>
      <c r="BI4" s="58">
        <f t="shared" ref="BI4" si="22">SQRT(4*BH4/(PI()))*12</f>
        <v>7.4164646788452391</v>
      </c>
      <c r="BJ4" s="58">
        <f t="shared" ref="BJ4" si="23">BG4/$M$1</f>
        <v>0.26666666666666666</v>
      </c>
      <c r="BK4" s="58">
        <f t="shared" ref="BK4" si="24">SQRT(4*BJ4/(PI()))*12</f>
        <v>6.992309955789306</v>
      </c>
      <c r="BL4" s="58">
        <v>10</v>
      </c>
      <c r="BM4" s="58">
        <f t="shared" ref="BM4" si="25">BG4/((((BL4/12)^2)/4)*PI())</f>
        <v>2200.157933302361</v>
      </c>
      <c r="BN4" s="1"/>
      <c r="BO4" s="1"/>
      <c r="BP4" s="1"/>
      <c r="BQ4" s="1"/>
      <c r="BR4" s="1"/>
      <c r="BS4" s="1"/>
      <c r="BT4" s="1"/>
    </row>
    <row r="5" spans="1:79" x14ac:dyDescent="0.25">
      <c r="A5" s="40">
        <v>6</v>
      </c>
      <c r="B5">
        <v>1100</v>
      </c>
      <c r="C5" s="3">
        <f>B5*$B$13/$B$12</f>
        <v>685.71428571428567</v>
      </c>
      <c r="D5" s="1">
        <f t="shared" si="0"/>
        <v>0.24489795918367346</v>
      </c>
      <c r="E5" s="41">
        <f t="shared" si="1"/>
        <v>6.7008344489543301</v>
      </c>
      <c r="F5" s="1">
        <f t="shared" si="2"/>
        <v>0.21428571428571427</v>
      </c>
      <c r="G5" s="41">
        <f t="shared" si="3"/>
        <v>6.2680566783698159</v>
      </c>
      <c r="H5">
        <v>8</v>
      </c>
      <c r="I5" s="3">
        <f t="shared" si="4"/>
        <v>1964.4267261628224</v>
      </c>
      <c r="J5" s="43">
        <f t="shared" si="5"/>
        <v>685.71428571428567</v>
      </c>
      <c r="K5" s="42">
        <f t="shared" si="6"/>
        <v>0.17142857142857143</v>
      </c>
      <c r="L5" s="43">
        <f t="shared" ref="L5:L6" si="26">SQRT(4*K5/(PI()))*12</f>
        <v>5.6063203278625782</v>
      </c>
      <c r="M5" s="42">
        <f t="shared" si="8"/>
        <v>0.15238095238095237</v>
      </c>
      <c r="N5" s="43">
        <f t="shared" ref="N5:N6" si="27">SQRT(4*M5/(PI()))*12</f>
        <v>5.2856894951141555</v>
      </c>
      <c r="O5" s="43">
        <v>12</v>
      </c>
      <c r="P5" s="43">
        <f t="shared" si="10"/>
        <v>873.07854496125435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58"/>
      <c r="BH5" s="58"/>
      <c r="BI5" s="58"/>
      <c r="BJ5" s="58"/>
      <c r="BK5" s="58"/>
      <c r="BL5" s="58"/>
      <c r="BM5" s="58"/>
      <c r="BN5" s="58">
        <f>BG4+J6</f>
        <v>1200</v>
      </c>
      <c r="BO5" s="58">
        <f t="shared" ref="BO5" si="28">BN5/$K$1</f>
        <v>0.3</v>
      </c>
      <c r="BP5" s="58">
        <f t="shared" ref="BP5" si="29">SQRT(4*BO5/(PI()))*12</f>
        <v>7.4164646788452391</v>
      </c>
      <c r="BQ5" s="58">
        <f t="shared" ref="BQ5" si="30">BN5/$M$1</f>
        <v>0.26666666666666666</v>
      </c>
      <c r="BR5" s="58">
        <f t="shared" ref="BR5" si="31">SQRT(4*BQ5/(PI()))*12</f>
        <v>6.992309955789306</v>
      </c>
      <c r="BS5" s="58">
        <v>25</v>
      </c>
      <c r="BT5" s="58">
        <v>18</v>
      </c>
    </row>
    <row r="6" spans="1:79" x14ac:dyDescent="0.25">
      <c r="A6" s="40">
        <v>0</v>
      </c>
      <c r="B6">
        <v>0</v>
      </c>
      <c r="C6" s="3">
        <f>B6*$B$13/$B$12</f>
        <v>0</v>
      </c>
      <c r="D6" s="1">
        <f t="shared" si="0"/>
        <v>0</v>
      </c>
      <c r="E6" s="41">
        <f t="shared" si="1"/>
        <v>0</v>
      </c>
      <c r="F6" s="1">
        <f t="shared" si="2"/>
        <v>0</v>
      </c>
      <c r="G6" s="41">
        <f t="shared" si="3"/>
        <v>0</v>
      </c>
      <c r="H6">
        <v>7</v>
      </c>
      <c r="I6" s="3">
        <f t="shared" si="4"/>
        <v>0</v>
      </c>
      <c r="J6" s="43">
        <f t="shared" si="5"/>
        <v>0</v>
      </c>
      <c r="K6" s="42">
        <f t="shared" si="6"/>
        <v>0</v>
      </c>
      <c r="L6" s="43">
        <f t="shared" si="26"/>
        <v>0</v>
      </c>
      <c r="M6" s="42">
        <f t="shared" si="8"/>
        <v>0</v>
      </c>
      <c r="N6" s="43">
        <f t="shared" si="27"/>
        <v>0</v>
      </c>
      <c r="O6" s="43">
        <v>7</v>
      </c>
      <c r="P6" s="43">
        <f t="shared" si="10"/>
        <v>0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58"/>
      <c r="BO6" s="58"/>
      <c r="BP6" s="58"/>
      <c r="BQ6" s="58"/>
      <c r="BR6" s="58"/>
      <c r="BS6" s="58"/>
      <c r="BT6" s="58"/>
      <c r="BU6" s="44" t="e">
        <f>BN5+#REF!</f>
        <v>#REF!</v>
      </c>
      <c r="BV6" s="44" t="e">
        <f t="shared" ref="BV6" si="32">BU6/$K$1</f>
        <v>#REF!</v>
      </c>
      <c r="BW6" s="44" t="e">
        <f t="shared" ref="BW6" si="33">SQRT(4*BV6/(PI()))*12</f>
        <v>#REF!</v>
      </c>
      <c r="BX6" s="44" t="e">
        <f t="shared" ref="BX6" si="34">BU6/$M$1</f>
        <v>#REF!</v>
      </c>
      <c r="BY6" s="44" t="e">
        <f t="shared" ref="BY6" si="35">SQRT(4*BX6/(PI()))*12</f>
        <v>#REF!</v>
      </c>
      <c r="BZ6" s="44">
        <v>28</v>
      </c>
      <c r="CA6" s="44" t="e">
        <f t="shared" ref="CA6" si="36">BU6/((((BZ6/12)^2)/4)*PI())</f>
        <v>#REF!</v>
      </c>
    </row>
    <row r="10" spans="1:79" x14ac:dyDescent="0.25">
      <c r="F10" s="3"/>
    </row>
    <row r="11" spans="1:79" x14ac:dyDescent="0.25">
      <c r="I11" s="3">
        <f>C5+C6+C4+C3+C2</f>
        <v>1199.9999999999998</v>
      </c>
    </row>
    <row r="12" spans="1:79" x14ac:dyDescent="0.25">
      <c r="A12" t="s">
        <v>50</v>
      </c>
      <c r="B12">
        <f>SUM(B2:B5)</f>
        <v>1925</v>
      </c>
    </row>
    <row r="13" spans="1:79" x14ac:dyDescent="0.25">
      <c r="A13" t="s">
        <v>51</v>
      </c>
      <c r="B13">
        <f>2400/2</f>
        <v>1200</v>
      </c>
      <c r="C13">
        <f>B13/B12</f>
        <v>0.62337662337662336</v>
      </c>
      <c r="G13">
        <f>150*0.04</f>
        <v>6</v>
      </c>
    </row>
  </sheetData>
  <mergeCells count="34">
    <mergeCell ref="BH4:BH5"/>
    <mergeCell ref="BI4:BI5"/>
    <mergeCell ref="BJ4:BJ5"/>
    <mergeCell ref="BC3:BC4"/>
    <mergeCell ref="BD3:BD4"/>
    <mergeCell ref="BE3:BE4"/>
    <mergeCell ref="BF3:BF4"/>
    <mergeCell ref="BG4:BG5"/>
    <mergeCell ref="BN5:BN6"/>
    <mergeCell ref="BO5:BO6"/>
    <mergeCell ref="BK4:BK5"/>
    <mergeCell ref="BL4:BL5"/>
    <mergeCell ref="BM4:BM5"/>
    <mergeCell ref="BP5:BP6"/>
    <mergeCell ref="BQ5:BQ6"/>
    <mergeCell ref="BR5:BR6"/>
    <mergeCell ref="BS5:BS6"/>
    <mergeCell ref="BT5:BT6"/>
    <mergeCell ref="AZ3:AZ4"/>
    <mergeCell ref="BA3:BA4"/>
    <mergeCell ref="BB3:BB4"/>
    <mergeCell ref="AT2:AT3"/>
    <mergeCell ref="AU2:AU3"/>
    <mergeCell ref="AV2:AV3"/>
    <mergeCell ref="AY2:AY3"/>
    <mergeCell ref="AX2:AX3"/>
    <mergeCell ref="AW2:AW3"/>
    <mergeCell ref="AS2:AS3"/>
    <mergeCell ref="D1:E1"/>
    <mergeCell ref="F1:G1"/>
    <mergeCell ref="K1:L1"/>
    <mergeCell ref="M1:N1"/>
    <mergeCell ref="R1:S1"/>
    <mergeCell ref="T1:U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activeCell="M10" sqref="M10"/>
    </sheetView>
  </sheetViews>
  <sheetFormatPr defaultRowHeight="15" x14ac:dyDescent="0.25"/>
  <cols>
    <col min="3" max="3" width="11.5703125" bestFit="1" customWidth="1"/>
    <col min="5" max="5" width="11.5703125" bestFit="1" customWidth="1"/>
  </cols>
  <sheetData>
    <row r="1" spans="1:18" ht="15.75" thickBot="1" x14ac:dyDescent="0.3">
      <c r="A1" s="34">
        <v>8</v>
      </c>
      <c r="B1" s="45">
        <f>(A1*A1*(PI())/4)/144</f>
        <v>0.3490658503988659</v>
      </c>
      <c r="C1" s="45">
        <f t="shared" ref="C1:C15" si="0">$J$1*B1</f>
        <v>1221.7304763960306</v>
      </c>
      <c r="D1">
        <f>C1</f>
        <v>1221.7304763960306</v>
      </c>
      <c r="E1" s="47">
        <f>D1</f>
        <v>1221.7304763960306</v>
      </c>
      <c r="F1" s="48">
        <f>E1/$J$1</f>
        <v>0.3490658503988659</v>
      </c>
      <c r="G1" s="49">
        <f>SQRT(4*F1/(PI()))*12</f>
        <v>8</v>
      </c>
      <c r="H1" s="48">
        <v>10</v>
      </c>
      <c r="I1" s="48">
        <f>E1/((((H1/12)^2)/4)*PI())</f>
        <v>2239.9999999999995</v>
      </c>
      <c r="J1" s="46">
        <v>3500</v>
      </c>
      <c r="R1">
        <v>8000</v>
      </c>
    </row>
    <row r="2" spans="1:18" x14ac:dyDescent="0.25">
      <c r="A2" s="34">
        <v>10</v>
      </c>
      <c r="B2" s="45">
        <f t="shared" ref="B2:B9" si="1">(A2*A2*(PI())/4)/144</f>
        <v>0.54541539124822802</v>
      </c>
      <c r="C2" s="45">
        <f t="shared" si="0"/>
        <v>1908.953869368798</v>
      </c>
      <c r="D2">
        <f>SUM(C1:C2)</f>
        <v>3130.6843457648283</v>
      </c>
      <c r="E2" s="47">
        <f>SUM(C1:C2)</f>
        <v>3130.6843457648283</v>
      </c>
      <c r="F2" s="48">
        <f>E2/$J$1</f>
        <v>0.89448124164709386</v>
      </c>
      <c r="G2" s="49">
        <f>SQRT(4*F2/(PI()))*12</f>
        <v>12.806248474865697</v>
      </c>
      <c r="H2" s="48">
        <v>14</v>
      </c>
      <c r="I2" s="48">
        <f>E2/((((H2/12)^2)/4)*PI())</f>
        <v>2928.571428571428</v>
      </c>
      <c r="M2">
        <v>10</v>
      </c>
      <c r="N2">
        <v>2500</v>
      </c>
    </row>
    <row r="3" spans="1:18" x14ac:dyDescent="0.25">
      <c r="A3" s="34">
        <v>16</v>
      </c>
      <c r="B3" s="45">
        <f t="shared" si="1"/>
        <v>1.3962634015954636</v>
      </c>
      <c r="C3" s="45">
        <f t="shared" si="0"/>
        <v>4886.9219055841222</v>
      </c>
      <c r="D3">
        <f>SUM(C1:C3)</f>
        <v>8017.6062513489505</v>
      </c>
      <c r="E3" s="47">
        <f>SUM(C1:C3)</f>
        <v>8017.6062513489505</v>
      </c>
      <c r="F3" s="48">
        <f>E3/$J$1</f>
        <v>2.2907446432425571</v>
      </c>
      <c r="G3" s="49">
        <f>SQRT(4*F3/(PI()))*12</f>
        <v>20.493901531919196</v>
      </c>
      <c r="H3" s="48">
        <v>20</v>
      </c>
      <c r="I3" s="48">
        <f>E3/((((H3/12)^2)/4)*PI())</f>
        <v>3674.9999999999995</v>
      </c>
      <c r="M3">
        <v>10</v>
      </c>
      <c r="N3">
        <v>2500</v>
      </c>
    </row>
    <row r="4" spans="1:18" x14ac:dyDescent="0.25">
      <c r="A4" s="34">
        <v>16</v>
      </c>
      <c r="B4" s="45">
        <f t="shared" si="1"/>
        <v>1.3962634015954636</v>
      </c>
      <c r="C4" s="45">
        <f t="shared" si="0"/>
        <v>4886.9219055841222</v>
      </c>
      <c r="D4">
        <f>SUM(C1:C4)</f>
        <v>12904.528156933073</v>
      </c>
      <c r="E4" s="47">
        <f>SUM(C1:C4)</f>
        <v>12904.528156933073</v>
      </c>
      <c r="F4" s="48">
        <f t="shared" ref="F4:F5" si="2">E4/$J$1</f>
        <v>3.6870080448380209</v>
      </c>
      <c r="G4" s="49">
        <f t="shared" ref="G4:G5" si="3">SQRT(4*F4/(PI()))*12</f>
        <v>26</v>
      </c>
      <c r="H4" s="50">
        <v>26</v>
      </c>
      <c r="I4" s="48">
        <f t="shared" ref="I4:I5" si="4">E4/((((H4/12)^2)/4)*PI())</f>
        <v>3500.0000000000005</v>
      </c>
      <c r="M4">
        <v>3</v>
      </c>
      <c r="N4">
        <v>220</v>
      </c>
    </row>
    <row r="5" spans="1:18" x14ac:dyDescent="0.25">
      <c r="A5" s="34">
        <v>16</v>
      </c>
      <c r="B5" s="45">
        <f t="shared" si="1"/>
        <v>1.3962634015954636</v>
      </c>
      <c r="C5" s="45">
        <f t="shared" si="0"/>
        <v>4886.9219055841222</v>
      </c>
      <c r="D5">
        <f>SUM(C1:C5)</f>
        <v>17791.450062517193</v>
      </c>
      <c r="E5" s="47">
        <f>SUM(C1:C5)</f>
        <v>17791.450062517193</v>
      </c>
      <c r="F5" s="48">
        <f t="shared" si="2"/>
        <v>5.0832714464334838</v>
      </c>
      <c r="G5" s="49">
        <f t="shared" si="3"/>
        <v>30.528675044947491</v>
      </c>
      <c r="H5" s="48">
        <v>30</v>
      </c>
      <c r="I5" s="48">
        <f t="shared" si="4"/>
        <v>3624.4444444444434</v>
      </c>
      <c r="M5">
        <v>3</v>
      </c>
      <c r="N5">
        <v>220</v>
      </c>
    </row>
    <row r="6" spans="1:18" x14ac:dyDescent="0.25">
      <c r="A6" s="34">
        <v>16</v>
      </c>
      <c r="B6" s="45">
        <f t="shared" si="1"/>
        <v>1.3962634015954636</v>
      </c>
      <c r="C6" s="45">
        <f t="shared" si="0"/>
        <v>4886.9219055841222</v>
      </c>
      <c r="D6">
        <f>SUM(C1:C6)</f>
        <v>22678.371968101317</v>
      </c>
      <c r="E6" s="47">
        <f>SUM(C1:C6)</f>
        <v>22678.371968101317</v>
      </c>
      <c r="F6" s="48">
        <f>E6/$J$1</f>
        <v>6.4795348480289476</v>
      </c>
      <c r="G6" s="49">
        <f>SQRT(4*F6/(PI()))*12</f>
        <v>34.467375879228172</v>
      </c>
      <c r="H6" s="48">
        <v>34</v>
      </c>
      <c r="I6" s="48">
        <f>E6/((((H6/12)^2)/4)*PI())</f>
        <v>3596.8858131487882</v>
      </c>
      <c r="N6">
        <f>SUM(N2:N5)</f>
        <v>5440</v>
      </c>
      <c r="O6">
        <v>5500</v>
      </c>
    </row>
    <row r="7" spans="1:18" x14ac:dyDescent="0.25">
      <c r="A7" s="34">
        <v>8</v>
      </c>
      <c r="B7" s="45">
        <f t="shared" si="1"/>
        <v>0.3490658503988659</v>
      </c>
      <c r="C7" s="45">
        <f t="shared" si="0"/>
        <v>1221.7304763960306</v>
      </c>
      <c r="D7">
        <f>SUM(C1:C7)</f>
        <v>23900.102444497348</v>
      </c>
      <c r="E7" s="47">
        <f>SUM(C1:C7)</f>
        <v>23900.102444497348</v>
      </c>
      <c r="F7" s="48">
        <f t="shared" ref="F7:F8" si="5">E7/$J$1</f>
        <v>6.828600698427814</v>
      </c>
      <c r="G7" s="49">
        <f t="shared" ref="G7:G8" si="6">SQRT(4*F7/(PI()))*12</f>
        <v>35.383612025908263</v>
      </c>
      <c r="H7" s="50">
        <v>38</v>
      </c>
      <c r="I7" s="48">
        <f t="shared" ref="I7:I8" si="7">E7/((((H7/12)^2)/4)*PI())</f>
        <v>3034.6260387811635</v>
      </c>
    </row>
    <row r="8" spans="1:18" x14ac:dyDescent="0.25">
      <c r="A8" s="34">
        <v>3</v>
      </c>
      <c r="B8" s="45">
        <f t="shared" si="1"/>
        <v>4.9087385212340517E-2</v>
      </c>
      <c r="C8" s="45">
        <f t="shared" si="0"/>
        <v>171.8058482431918</v>
      </c>
      <c r="D8">
        <f>SUM(C1:C8)</f>
        <v>24071.90829274054</v>
      </c>
      <c r="E8" s="47">
        <f>SUM(C1:C8)</f>
        <v>24071.90829274054</v>
      </c>
      <c r="F8" s="48">
        <f t="shared" si="5"/>
        <v>6.8776880836401544</v>
      </c>
      <c r="G8" s="49">
        <f t="shared" si="6"/>
        <v>35.510561809129406</v>
      </c>
      <c r="H8" s="48">
        <v>38</v>
      </c>
      <c r="I8" s="48">
        <f t="shared" si="7"/>
        <v>3056.4404432132965</v>
      </c>
    </row>
    <row r="9" spans="1:18" x14ac:dyDescent="0.25">
      <c r="A9" s="34">
        <v>0</v>
      </c>
      <c r="B9" s="45">
        <f t="shared" si="1"/>
        <v>0</v>
      </c>
      <c r="C9" s="45">
        <f t="shared" si="0"/>
        <v>0</v>
      </c>
      <c r="D9">
        <f>SUM(C1:C9)</f>
        <v>24071.90829274054</v>
      </c>
      <c r="E9" s="47">
        <f>SUM(C1:C9)</f>
        <v>24071.90829274054</v>
      </c>
      <c r="F9" s="48">
        <f>E9/$J$1</f>
        <v>6.8776880836401544</v>
      </c>
      <c r="G9" s="49">
        <f>SQRT(4*F9/(PI()))*12</f>
        <v>35.510561809129406</v>
      </c>
      <c r="H9" s="48">
        <v>18</v>
      </c>
      <c r="I9" s="48">
        <f>E9/((((H9/12)^2)/4)*PI())</f>
        <v>13621.913580246912</v>
      </c>
    </row>
    <row r="10" spans="1:18" x14ac:dyDescent="0.25">
      <c r="A10" s="34">
        <v>0</v>
      </c>
      <c r="B10" s="45">
        <f>(A10*A10*(PI())/4)/144</f>
        <v>0</v>
      </c>
      <c r="C10" s="45">
        <f t="shared" si="0"/>
        <v>0</v>
      </c>
      <c r="D10">
        <f>SUM(C1:C10)</f>
        <v>24071.90829274054</v>
      </c>
      <c r="E10" s="47">
        <f>SUM(C1:C10)</f>
        <v>24071.90829274054</v>
      </c>
      <c r="F10" s="48">
        <f t="shared" ref="F10:F11" si="8">E10/$J$1</f>
        <v>6.8776880836401544</v>
      </c>
      <c r="G10" s="49">
        <f t="shared" ref="G10:G11" si="9">SQRT(4*F10/(PI()))*12</f>
        <v>35.510561809129406</v>
      </c>
      <c r="H10" s="50">
        <v>20</v>
      </c>
      <c r="I10" s="48">
        <f t="shared" ref="I10:I11" si="10">E10/((((H10/12)^2)/4)*PI())</f>
        <v>11033.749999999998</v>
      </c>
    </row>
    <row r="11" spans="1:18" x14ac:dyDescent="0.25">
      <c r="A11" s="34">
        <v>0</v>
      </c>
      <c r="B11" s="45">
        <f t="shared" ref="B11:B15" si="11">(A11*A11*(PI())/4)/144</f>
        <v>0</v>
      </c>
      <c r="C11" s="45">
        <f t="shared" si="0"/>
        <v>0</v>
      </c>
      <c r="D11">
        <f>SUM(C1:C11)</f>
        <v>24071.90829274054</v>
      </c>
      <c r="E11" s="47">
        <f>SUM(C1:C11)</f>
        <v>24071.90829274054</v>
      </c>
      <c r="F11" s="48">
        <f t="shared" si="8"/>
        <v>6.8776880836401544</v>
      </c>
      <c r="G11" s="49">
        <f t="shared" si="9"/>
        <v>35.510561809129406</v>
      </c>
      <c r="H11" s="48">
        <v>22</v>
      </c>
      <c r="I11" s="48">
        <f t="shared" si="10"/>
        <v>9118.8016528925618</v>
      </c>
    </row>
    <row r="12" spans="1:18" x14ac:dyDescent="0.25">
      <c r="A12" s="34">
        <v>0</v>
      </c>
      <c r="B12" s="45">
        <f t="shared" si="11"/>
        <v>0</v>
      </c>
      <c r="C12" s="45">
        <f t="shared" si="0"/>
        <v>0</v>
      </c>
      <c r="D12">
        <f>SUM(C1:C12)</f>
        <v>24071.90829274054</v>
      </c>
      <c r="E12" s="47">
        <f>SUM(C1:C12)</f>
        <v>24071.90829274054</v>
      </c>
      <c r="F12" s="48">
        <f>E12/$J$1</f>
        <v>6.8776880836401544</v>
      </c>
      <c r="G12" s="49">
        <f>SQRT(4*F12/(PI()))*12</f>
        <v>35.510561809129406</v>
      </c>
      <c r="H12" s="48">
        <v>24</v>
      </c>
      <c r="I12" s="48">
        <f>E12/((((H12/12)^2)/4)*PI())</f>
        <v>7662.3263888888887</v>
      </c>
    </row>
    <row r="13" spans="1:18" x14ac:dyDescent="0.25">
      <c r="A13" s="34">
        <v>0</v>
      </c>
      <c r="B13" s="45">
        <f t="shared" si="11"/>
        <v>0</v>
      </c>
      <c r="C13" s="45">
        <f t="shared" si="0"/>
        <v>0</v>
      </c>
      <c r="D13">
        <f>SUM(C1:C13)</f>
        <v>24071.90829274054</v>
      </c>
      <c r="E13" s="47">
        <f>SUM(C1:C13)</f>
        <v>24071.90829274054</v>
      </c>
      <c r="F13" s="48">
        <f t="shared" ref="F13:F14" si="12">E13/$J$1</f>
        <v>6.8776880836401544</v>
      </c>
      <c r="G13" s="49">
        <f t="shared" ref="G13:G14" si="13">SQRT(4*F13/(PI()))*12</f>
        <v>35.510561809129406</v>
      </c>
      <c r="H13" s="50">
        <v>24</v>
      </c>
      <c r="I13" s="48">
        <f t="shared" ref="I13:I14" si="14">E13/((((H13/12)^2)/4)*PI())</f>
        <v>7662.3263888888887</v>
      </c>
    </row>
    <row r="14" spans="1:18" x14ac:dyDescent="0.25">
      <c r="A14" s="34">
        <v>0</v>
      </c>
      <c r="B14" s="45">
        <f t="shared" si="11"/>
        <v>0</v>
      </c>
      <c r="C14" s="45">
        <f t="shared" si="0"/>
        <v>0</v>
      </c>
      <c r="D14">
        <f t="shared" ref="D14:D15" si="15">SUM(C5:C14)</f>
        <v>11167.380135807467</v>
      </c>
      <c r="E14" s="47">
        <f>SUM(C1:C14)</f>
        <v>24071.90829274054</v>
      </c>
      <c r="F14" s="48">
        <f t="shared" si="12"/>
        <v>6.8776880836401544</v>
      </c>
      <c r="G14" s="49">
        <f t="shared" si="13"/>
        <v>35.510561809129406</v>
      </c>
      <c r="H14" s="48">
        <v>26</v>
      </c>
      <c r="I14" s="48">
        <f t="shared" si="14"/>
        <v>6528.8461538461543</v>
      </c>
    </row>
    <row r="15" spans="1:18" x14ac:dyDescent="0.25">
      <c r="A15" s="34">
        <v>0</v>
      </c>
      <c r="B15" s="45">
        <f t="shared" si="11"/>
        <v>0</v>
      </c>
      <c r="C15" s="45">
        <f t="shared" si="0"/>
        <v>0</v>
      </c>
      <c r="D15">
        <f t="shared" si="15"/>
        <v>6280.4582302233448</v>
      </c>
      <c r="E15" s="47">
        <f>SUM(C1:C15)</f>
        <v>24071.90829274054</v>
      </c>
      <c r="F15" s="48">
        <f>E15/$J$1</f>
        <v>6.8776880836401544</v>
      </c>
      <c r="G15" s="49">
        <f>SQRT(4*F15/(PI()))*12</f>
        <v>35.510561809129406</v>
      </c>
      <c r="H15" s="48">
        <v>28</v>
      </c>
      <c r="I15" s="48">
        <f>E15/((((H15/12)^2)/4)*PI())</f>
        <v>5629.4642857142844</v>
      </c>
    </row>
    <row r="16" spans="1:18" x14ac:dyDescent="0.25">
      <c r="A16" s="34">
        <v>0</v>
      </c>
      <c r="B16" s="45">
        <f t="shared" ref="B16:B23" si="16">(A16*A16*(PI())/4)/144</f>
        <v>0</v>
      </c>
      <c r="C16" s="45">
        <f t="shared" ref="C16:C23" si="17">$J$1*B16</f>
        <v>0</v>
      </c>
      <c r="D16">
        <f t="shared" ref="D16:D23" si="18">SUM(C7:C16)</f>
        <v>1393.5363246392224</v>
      </c>
      <c r="E16" s="47">
        <f>SUM(C1:C16)</f>
        <v>24071.90829274054</v>
      </c>
      <c r="F16" s="48">
        <f t="shared" ref="F16:F23" si="19">E16/$J$1</f>
        <v>6.8776880836401544</v>
      </c>
      <c r="G16" s="49">
        <f t="shared" ref="G16:G23" si="20">SQRT(4*F16/(PI()))*12</f>
        <v>35.510561809129406</v>
      </c>
      <c r="H16" s="48">
        <v>28</v>
      </c>
      <c r="I16" s="48">
        <f t="shared" ref="I16:I23" si="21">E16/((((H16/12)^2)/4)*PI())</f>
        <v>5629.4642857142844</v>
      </c>
    </row>
    <row r="17" spans="1:9" x14ac:dyDescent="0.25">
      <c r="A17" s="34">
        <v>0</v>
      </c>
      <c r="B17" s="45">
        <f t="shared" si="16"/>
        <v>0</v>
      </c>
      <c r="C17" s="45">
        <f t="shared" si="17"/>
        <v>0</v>
      </c>
      <c r="D17">
        <f t="shared" si="18"/>
        <v>171.8058482431918</v>
      </c>
      <c r="E17" s="47">
        <f>SUM(C1:C17)</f>
        <v>24071.90829274054</v>
      </c>
      <c r="F17" s="48">
        <f t="shared" si="19"/>
        <v>6.8776880836401544</v>
      </c>
      <c r="G17" s="49">
        <f t="shared" si="20"/>
        <v>35.510561809129406</v>
      </c>
      <c r="H17" s="48">
        <v>30</v>
      </c>
      <c r="I17" s="48">
        <f t="shared" si="21"/>
        <v>4903.8888888888887</v>
      </c>
    </row>
    <row r="18" spans="1:9" x14ac:dyDescent="0.25">
      <c r="A18" s="34">
        <v>0</v>
      </c>
      <c r="B18" s="45">
        <f t="shared" si="16"/>
        <v>0</v>
      </c>
      <c r="C18" s="45">
        <f t="shared" si="17"/>
        <v>0</v>
      </c>
      <c r="D18">
        <f t="shared" si="18"/>
        <v>0</v>
      </c>
      <c r="E18" s="47">
        <f>SUM(C1:C18)</f>
        <v>24071.90829274054</v>
      </c>
      <c r="F18" s="48">
        <f t="shared" si="19"/>
        <v>6.8776880836401544</v>
      </c>
      <c r="G18" s="49">
        <f t="shared" si="20"/>
        <v>35.510561809129406</v>
      </c>
      <c r="H18" s="48">
        <v>30</v>
      </c>
      <c r="I18" s="48">
        <f t="shared" si="21"/>
        <v>4903.8888888888887</v>
      </c>
    </row>
    <row r="19" spans="1:9" x14ac:dyDescent="0.25">
      <c r="A19" s="34">
        <v>0</v>
      </c>
      <c r="B19" s="45">
        <f t="shared" si="16"/>
        <v>0</v>
      </c>
      <c r="C19" s="45">
        <f t="shared" si="17"/>
        <v>0</v>
      </c>
      <c r="D19">
        <f t="shared" si="18"/>
        <v>0</v>
      </c>
      <c r="E19" s="47">
        <f>SUM(C1:C19)</f>
        <v>24071.90829274054</v>
      </c>
      <c r="F19" s="48">
        <f t="shared" si="19"/>
        <v>6.8776880836401544</v>
      </c>
      <c r="G19" s="49">
        <f t="shared" si="20"/>
        <v>35.510561809129406</v>
      </c>
      <c r="H19" s="48">
        <v>32</v>
      </c>
      <c r="I19" s="48">
        <f t="shared" si="21"/>
        <v>4310.05859375</v>
      </c>
    </row>
    <row r="20" spans="1:9" x14ac:dyDescent="0.25">
      <c r="A20" s="34">
        <v>0</v>
      </c>
      <c r="B20" s="45">
        <f t="shared" si="16"/>
        <v>0</v>
      </c>
      <c r="C20" s="45">
        <f t="shared" si="17"/>
        <v>0</v>
      </c>
      <c r="D20">
        <f t="shared" si="18"/>
        <v>0</v>
      </c>
      <c r="E20" s="47">
        <f>SUM(C1:C20)</f>
        <v>24071.90829274054</v>
      </c>
      <c r="F20" s="48">
        <f t="shared" si="19"/>
        <v>6.8776880836401544</v>
      </c>
      <c r="G20" s="49">
        <f t="shared" si="20"/>
        <v>35.510561809129406</v>
      </c>
      <c r="H20" s="48">
        <v>32</v>
      </c>
      <c r="I20" s="48">
        <f t="shared" si="21"/>
        <v>4310.05859375</v>
      </c>
    </row>
    <row r="21" spans="1:9" x14ac:dyDescent="0.25">
      <c r="A21" s="34">
        <v>0</v>
      </c>
      <c r="B21" s="45">
        <f t="shared" si="16"/>
        <v>0</v>
      </c>
      <c r="C21" s="45">
        <f t="shared" si="17"/>
        <v>0</v>
      </c>
      <c r="D21">
        <f t="shared" si="18"/>
        <v>0</v>
      </c>
      <c r="E21" s="47">
        <f>SUM(C1:C21)</f>
        <v>24071.90829274054</v>
      </c>
      <c r="F21" s="48">
        <f t="shared" si="19"/>
        <v>6.8776880836401544</v>
      </c>
      <c r="G21" s="49">
        <f t="shared" si="20"/>
        <v>35.510561809129406</v>
      </c>
      <c r="H21" s="48">
        <v>34</v>
      </c>
      <c r="I21" s="48">
        <f t="shared" si="21"/>
        <v>3817.906574394463</v>
      </c>
    </row>
    <row r="22" spans="1:9" x14ac:dyDescent="0.25">
      <c r="A22" s="34">
        <v>0</v>
      </c>
      <c r="B22" s="45">
        <f t="shared" si="16"/>
        <v>0</v>
      </c>
      <c r="C22" s="45">
        <f t="shared" si="17"/>
        <v>0</v>
      </c>
      <c r="D22">
        <f t="shared" si="18"/>
        <v>0</v>
      </c>
      <c r="E22" s="47">
        <f>SUM(C1:C22)</f>
        <v>24071.90829274054</v>
      </c>
      <c r="F22" s="48">
        <f t="shared" si="19"/>
        <v>6.8776880836401544</v>
      </c>
      <c r="G22" s="49">
        <f t="shared" si="20"/>
        <v>35.510561809129406</v>
      </c>
      <c r="H22" s="48">
        <v>34</v>
      </c>
      <c r="I22" s="48">
        <f t="shared" si="21"/>
        <v>3817.906574394463</v>
      </c>
    </row>
    <row r="23" spans="1:9" x14ac:dyDescent="0.25">
      <c r="A23" s="34">
        <v>0</v>
      </c>
      <c r="B23" s="45">
        <f t="shared" si="16"/>
        <v>0</v>
      </c>
      <c r="C23" s="45">
        <f t="shared" si="17"/>
        <v>0</v>
      </c>
      <c r="D23">
        <f t="shared" si="18"/>
        <v>0</v>
      </c>
      <c r="E23" s="47">
        <f>SUM(C1:C23)</f>
        <v>24071.90829274054</v>
      </c>
      <c r="F23" s="48">
        <f t="shared" si="19"/>
        <v>6.8776880836401544</v>
      </c>
      <c r="G23" s="49">
        <f t="shared" si="20"/>
        <v>35.510561809129406</v>
      </c>
      <c r="H23" s="48">
        <v>36</v>
      </c>
      <c r="I23" s="48">
        <f t="shared" si="21"/>
        <v>3405.478395061728</v>
      </c>
    </row>
    <row r="24" spans="1:9" s="51" customFormat="1" x14ac:dyDescent="0.25">
      <c r="D24"/>
      <c r="E24"/>
      <c r="F24" s="52"/>
      <c r="G24" s="53"/>
      <c r="H24" s="52"/>
      <c r="I24" s="52"/>
    </row>
    <row r="25" spans="1:9" x14ac:dyDescent="0.25">
      <c r="A25" s="34"/>
      <c r="B25" s="34"/>
    </row>
    <row r="26" spans="1:9" x14ac:dyDescent="0.25">
      <c r="A26" s="45"/>
      <c r="B26" s="45"/>
      <c r="C26" s="45"/>
    </row>
    <row r="27" spans="1:9" x14ac:dyDescent="0.25">
      <c r="A27" s="45">
        <v>8</v>
      </c>
      <c r="B27" s="45">
        <f t="shared" ref="B27:B28" si="22">(A27*A27*(PI())/4)/144</f>
        <v>0.3490658503988659</v>
      </c>
      <c r="C27" s="45">
        <f t="shared" ref="C27:C28" si="23">4500*B27</f>
        <v>1570.7963267948965</v>
      </c>
      <c r="H27" t="e">
        <f>H26/H25</f>
        <v>#DIV/0!</v>
      </c>
      <c r="I27" t="e">
        <f>I25/I26</f>
        <v>#DIV/0!</v>
      </c>
    </row>
    <row r="28" spans="1:9" x14ac:dyDescent="0.25">
      <c r="A28" s="45">
        <v>7</v>
      </c>
      <c r="B28" s="45">
        <f t="shared" si="22"/>
        <v>0.26725354171163168</v>
      </c>
      <c r="C28" s="45">
        <f t="shared" si="23"/>
        <v>1202.6409377023426</v>
      </c>
      <c r="I28">
        <f>80*7*7</f>
        <v>3920</v>
      </c>
    </row>
    <row r="29" spans="1:9" x14ac:dyDescent="0.25">
      <c r="C29" s="34">
        <f>SUM(C26:C28)</f>
        <v>2773.4372644972391</v>
      </c>
      <c r="D29" s="52">
        <f>C29/4500</f>
        <v>0.61631939211049758</v>
      </c>
      <c r="E29" s="53">
        <f>SQRT(4*D29/(PI()))*12</f>
        <v>10.63014581273465</v>
      </c>
      <c r="F29" s="52">
        <v>7</v>
      </c>
      <c r="G29" s="52">
        <f>C29/((((F29/12)^2)/4)*PI())</f>
        <v>10377.551020408162</v>
      </c>
    </row>
    <row r="31" spans="1:9" x14ac:dyDescent="0.25">
      <c r="A31" s="45">
        <v>4</v>
      </c>
      <c r="B31" s="45">
        <f t="shared" ref="B31:B32" si="24">(A31*A31*(PI())/4)/144</f>
        <v>8.7266462599716474E-2</v>
      </c>
      <c r="C31" s="45">
        <f t="shared" ref="C31:C32" si="25">4500*B31</f>
        <v>392.69908169872411</v>
      </c>
    </row>
    <row r="32" spans="1:9" x14ac:dyDescent="0.25">
      <c r="A32" s="45">
        <v>4</v>
      </c>
      <c r="B32" s="45">
        <f t="shared" si="24"/>
        <v>8.7266462599716474E-2</v>
      </c>
      <c r="C32" s="45">
        <f t="shared" si="25"/>
        <v>392.69908169872411</v>
      </c>
    </row>
    <row r="33" spans="3:7" x14ac:dyDescent="0.25">
      <c r="C33" s="34">
        <f>SUM(C31:C32)</f>
        <v>785.39816339744823</v>
      </c>
      <c r="D33" s="52">
        <f>C33/4500</f>
        <v>0.17453292519943295</v>
      </c>
      <c r="E33" s="53">
        <f>SQRT(4*D33/(PI()))*12</f>
        <v>5.6568542494923797</v>
      </c>
      <c r="F33" s="52">
        <v>6</v>
      </c>
      <c r="G33" s="52">
        <f>C33/((((F33/12)^2)/4)*PI())</f>
        <v>3999.9999999999995</v>
      </c>
    </row>
    <row r="35" spans="3:7" x14ac:dyDescent="0.25">
      <c r="C35">
        <f>(C29+C33)</f>
        <v>3558.8354278946872</v>
      </c>
      <c r="D35" s="52">
        <f>C35/4500</f>
        <v>0.79085231730993044</v>
      </c>
      <c r="E35" s="53">
        <f>SQRT(4*D35/(PI()))*12</f>
        <v>12.041594578792294</v>
      </c>
      <c r="F35" s="52">
        <v>8</v>
      </c>
      <c r="G35" s="52">
        <f>C35/((((F35/12)^2)/4)*PI())</f>
        <v>10195.3125</v>
      </c>
    </row>
    <row r="37" spans="3:7" x14ac:dyDescent="0.25">
      <c r="C37" t="e">
        <f>(#REF!+C29+C33)</f>
        <v>#REF!</v>
      </c>
      <c r="D37" s="52" t="e">
        <f>C37/4500</f>
        <v>#REF!</v>
      </c>
      <c r="E37" s="53" t="e">
        <f>SQRT(4*D37/(PI()))*12</f>
        <v>#REF!</v>
      </c>
      <c r="F37" s="52">
        <v>20</v>
      </c>
      <c r="G37" s="52" t="e">
        <f>C37/((((F37/12)^2)/4)*PI())</f>
        <v>#REF!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activeCell="E2" sqref="E2"/>
    </sheetView>
  </sheetViews>
  <sheetFormatPr defaultRowHeight="15" x14ac:dyDescent="0.25"/>
  <cols>
    <col min="3" max="3" width="11.5703125" bestFit="1" customWidth="1"/>
    <col min="5" max="5" width="11.5703125" bestFit="1" customWidth="1"/>
  </cols>
  <sheetData>
    <row r="1" spans="1:18" ht="15.75" thickBot="1" x14ac:dyDescent="0.3">
      <c r="A1" s="34">
        <v>10</v>
      </c>
      <c r="B1" s="45">
        <f>(A1*A1*(PI())/4)/144</f>
        <v>0.54541539124822802</v>
      </c>
      <c r="C1" s="45">
        <f t="shared" ref="C1:C23" si="0">$J$1*B1</f>
        <v>1908.953869368798</v>
      </c>
      <c r="D1">
        <f>C1</f>
        <v>1908.953869368798</v>
      </c>
      <c r="E1" s="47">
        <f>D1</f>
        <v>1908.953869368798</v>
      </c>
      <c r="F1" s="48">
        <f>E1/$J$1</f>
        <v>0.54541539124822802</v>
      </c>
      <c r="G1" s="49">
        <f>SQRT(4*F1/(PI()))*12</f>
        <v>10</v>
      </c>
      <c r="H1" s="48">
        <v>10</v>
      </c>
      <c r="I1" s="48">
        <f>E1/((((H1/12)^2)/4)*PI())</f>
        <v>3500</v>
      </c>
      <c r="J1" s="46">
        <v>3500</v>
      </c>
      <c r="R1">
        <v>8000</v>
      </c>
    </row>
    <row r="2" spans="1:18" x14ac:dyDescent="0.25">
      <c r="A2" s="34">
        <v>10</v>
      </c>
      <c r="B2" s="45">
        <f t="shared" ref="B2:B9" si="1">(A2*A2*(PI())/4)/144</f>
        <v>0.54541539124822802</v>
      </c>
      <c r="C2" s="45">
        <f t="shared" si="0"/>
        <v>1908.953869368798</v>
      </c>
      <c r="D2">
        <f>SUM(C1:C2)</f>
        <v>3817.907738737596</v>
      </c>
      <c r="E2" s="47">
        <f>SUM(C1:C2)</f>
        <v>3817.907738737596</v>
      </c>
      <c r="F2" s="48">
        <f>E2/$J$1</f>
        <v>1.090830782496456</v>
      </c>
      <c r="G2" s="49">
        <f>SQRT(4*F2/(PI()))*12</f>
        <v>14.142135623730951</v>
      </c>
      <c r="H2" s="48">
        <v>16</v>
      </c>
      <c r="I2" s="48">
        <f>E2/((((H2/12)^2)/4)*PI())</f>
        <v>2734.375</v>
      </c>
      <c r="M2">
        <v>10</v>
      </c>
      <c r="N2">
        <v>2500</v>
      </c>
    </row>
    <row r="3" spans="1:18" x14ac:dyDescent="0.25">
      <c r="A3" s="34">
        <v>16</v>
      </c>
      <c r="B3" s="45">
        <f t="shared" si="1"/>
        <v>1.3962634015954636</v>
      </c>
      <c r="C3" s="45">
        <f t="shared" si="0"/>
        <v>4886.9219055841222</v>
      </c>
      <c r="D3">
        <f>SUM(C1:C3)</f>
        <v>8704.8296443217187</v>
      </c>
      <c r="E3" s="47">
        <f>SUM(C1:C3)</f>
        <v>8704.8296443217187</v>
      </c>
      <c r="F3" s="48">
        <f>E3/$J$1</f>
        <v>2.4870941840919194</v>
      </c>
      <c r="G3" s="49">
        <f>SQRT(4*F3/(PI()))*12</f>
        <v>21.354156504062622</v>
      </c>
      <c r="H3" s="48">
        <v>20</v>
      </c>
      <c r="I3" s="48">
        <f>E3/((((H3/12)^2)/4)*PI())</f>
        <v>3989.9999999999995</v>
      </c>
      <c r="M3">
        <v>10</v>
      </c>
      <c r="N3">
        <v>2500</v>
      </c>
    </row>
    <row r="4" spans="1:18" x14ac:dyDescent="0.25">
      <c r="A4" s="34">
        <v>16</v>
      </c>
      <c r="B4" s="45">
        <f t="shared" si="1"/>
        <v>1.3962634015954636</v>
      </c>
      <c r="C4" s="45">
        <f t="shared" si="0"/>
        <v>4886.9219055841222</v>
      </c>
      <c r="D4">
        <f>SUM(C1:C4)</f>
        <v>13591.751549905841</v>
      </c>
      <c r="E4" s="47">
        <f>SUM(C1:C4)</f>
        <v>13591.751549905841</v>
      </c>
      <c r="F4" s="48">
        <f t="shared" ref="F4:F5" si="2">E4/$J$1</f>
        <v>3.8833575856873832</v>
      </c>
      <c r="G4" s="49">
        <f t="shared" ref="G4:G5" si="3">SQRT(4*F4/(PI()))*12</f>
        <v>26.683328128252668</v>
      </c>
      <c r="H4" s="50">
        <v>26</v>
      </c>
      <c r="I4" s="48">
        <f t="shared" ref="I4:I5" si="4">E4/((((H4/12)^2)/4)*PI())</f>
        <v>3686.3905325443793</v>
      </c>
      <c r="M4">
        <v>3</v>
      </c>
      <c r="N4">
        <v>220</v>
      </c>
    </row>
    <row r="5" spans="1:18" x14ac:dyDescent="0.25">
      <c r="A5" s="34">
        <v>16</v>
      </c>
      <c r="B5" s="45">
        <f t="shared" si="1"/>
        <v>1.3962634015954636</v>
      </c>
      <c r="C5" s="45">
        <f t="shared" si="0"/>
        <v>4886.9219055841222</v>
      </c>
      <c r="D5">
        <f>SUM(C1:C5)</f>
        <v>18478.673455489963</v>
      </c>
      <c r="E5" s="47">
        <f>SUM(C1:C5)</f>
        <v>18478.673455489963</v>
      </c>
      <c r="F5" s="48">
        <f t="shared" si="2"/>
        <v>5.279620987282847</v>
      </c>
      <c r="G5" s="49">
        <f t="shared" si="3"/>
        <v>31.11269837220809</v>
      </c>
      <c r="H5" s="48">
        <v>30</v>
      </c>
      <c r="I5" s="48">
        <f t="shared" si="4"/>
        <v>3764.4444444444443</v>
      </c>
      <c r="M5">
        <v>3</v>
      </c>
      <c r="N5">
        <v>220</v>
      </c>
    </row>
    <row r="6" spans="1:18" x14ac:dyDescent="0.25">
      <c r="A6" s="34">
        <v>16</v>
      </c>
      <c r="B6" s="45">
        <f t="shared" si="1"/>
        <v>1.3962634015954636</v>
      </c>
      <c r="C6" s="45">
        <f t="shared" si="0"/>
        <v>4886.9219055841222</v>
      </c>
      <c r="D6">
        <f>SUM(C1:C6)</f>
        <v>23365.595361074083</v>
      </c>
      <c r="E6" s="47">
        <f>SUM(C1:C6)</f>
        <v>23365.595361074083</v>
      </c>
      <c r="F6" s="48">
        <f>E6/$J$1</f>
        <v>6.6758843888783099</v>
      </c>
      <c r="G6" s="49">
        <f>SQRT(4*F6/(PI()))*12</f>
        <v>34.985711369071808</v>
      </c>
      <c r="H6" s="48">
        <v>30</v>
      </c>
      <c r="I6" s="48">
        <f>E6/((((H6/12)^2)/4)*PI())</f>
        <v>4759.9999999999991</v>
      </c>
      <c r="N6">
        <f>SUM(N2:N5)</f>
        <v>5440</v>
      </c>
      <c r="O6">
        <v>5500</v>
      </c>
    </row>
    <row r="7" spans="1:18" x14ac:dyDescent="0.25">
      <c r="A7" s="34">
        <v>14</v>
      </c>
      <c r="B7" s="45">
        <f t="shared" si="1"/>
        <v>1.0690141668465267</v>
      </c>
      <c r="C7" s="45">
        <f t="shared" si="0"/>
        <v>3741.5495839628434</v>
      </c>
      <c r="D7">
        <f>SUM(C1:C7)</f>
        <v>27107.144945036925</v>
      </c>
      <c r="E7" s="47">
        <f>SUM(C1:C7)</f>
        <v>27107.144945036925</v>
      </c>
      <c r="F7" s="48">
        <f t="shared" ref="F7:F8" si="5">E7/$J$1</f>
        <v>7.744898555724836</v>
      </c>
      <c r="G7" s="49">
        <f t="shared" ref="G7:G8" si="6">SQRT(4*F7/(PI()))*12</f>
        <v>37.68288736283354</v>
      </c>
      <c r="H7" s="50">
        <v>16</v>
      </c>
      <c r="I7" s="48">
        <f t="shared" ref="I7:I8" si="7">E7/((((H7/12)^2)/4)*PI())</f>
        <v>19414.062499999996</v>
      </c>
    </row>
    <row r="8" spans="1:18" x14ac:dyDescent="0.25">
      <c r="A8" s="34">
        <v>4</v>
      </c>
      <c r="B8" s="45">
        <f t="shared" si="1"/>
        <v>8.7266462599716474E-2</v>
      </c>
      <c r="C8" s="45">
        <f t="shared" si="0"/>
        <v>305.43261909900764</v>
      </c>
      <c r="D8">
        <f>SUM(C1:C8)</f>
        <v>27412.577564135932</v>
      </c>
      <c r="E8" s="47">
        <f>SUM(C1:C8)</f>
        <v>27412.577564135932</v>
      </c>
      <c r="F8" s="48">
        <f t="shared" si="5"/>
        <v>7.8321650183245524</v>
      </c>
      <c r="G8" s="49">
        <f t="shared" si="6"/>
        <v>37.894590642992831</v>
      </c>
      <c r="H8" s="48">
        <v>30</v>
      </c>
      <c r="I8" s="48">
        <f t="shared" si="7"/>
        <v>5584.4444444444434</v>
      </c>
    </row>
    <row r="9" spans="1:18" x14ac:dyDescent="0.25">
      <c r="A9" s="34">
        <v>0</v>
      </c>
      <c r="B9" s="45">
        <f t="shared" si="1"/>
        <v>0</v>
      </c>
      <c r="C9" s="45">
        <f t="shared" si="0"/>
        <v>0</v>
      </c>
      <c r="D9">
        <f>SUM(C1:C9)</f>
        <v>27412.577564135932</v>
      </c>
      <c r="E9" s="47">
        <f>SUM(C1:C9)</f>
        <v>27412.577564135932</v>
      </c>
      <c r="F9" s="48">
        <f>E9/$J$1</f>
        <v>7.8321650183245524</v>
      </c>
      <c r="G9" s="49">
        <f>SQRT(4*F9/(PI()))*12</f>
        <v>37.894590642992831</v>
      </c>
      <c r="H9" s="48">
        <v>18</v>
      </c>
      <c r="I9" s="48">
        <f>E9/((((H9/12)^2)/4)*PI())</f>
        <v>15512.345679012342</v>
      </c>
    </row>
    <row r="10" spans="1:18" x14ac:dyDescent="0.25">
      <c r="A10" s="34">
        <v>0</v>
      </c>
      <c r="B10" s="45">
        <f>(A10*A10*(PI())/4)/144</f>
        <v>0</v>
      </c>
      <c r="C10" s="45">
        <f t="shared" si="0"/>
        <v>0</v>
      </c>
      <c r="D10">
        <f>SUM(C1:C10)</f>
        <v>27412.577564135932</v>
      </c>
      <c r="E10" s="47">
        <f>SUM(C1:C10)</f>
        <v>27412.577564135932</v>
      </c>
      <c r="F10" s="48">
        <f t="shared" ref="F10:F11" si="8">E10/$J$1</f>
        <v>7.8321650183245524</v>
      </c>
      <c r="G10" s="49">
        <f t="shared" ref="G10:G11" si="9">SQRT(4*F10/(PI()))*12</f>
        <v>37.894590642992831</v>
      </c>
      <c r="H10" s="50">
        <v>20</v>
      </c>
      <c r="I10" s="48">
        <f t="shared" ref="I10:I11" si="10">E10/((((H10/12)^2)/4)*PI())</f>
        <v>12564.999999999996</v>
      </c>
    </row>
    <row r="11" spans="1:18" x14ac:dyDescent="0.25">
      <c r="A11" s="34">
        <v>0</v>
      </c>
      <c r="B11" s="45">
        <f t="shared" ref="B11:B23" si="11">(A11*A11*(PI())/4)/144</f>
        <v>0</v>
      </c>
      <c r="C11" s="45">
        <f t="shared" si="0"/>
        <v>0</v>
      </c>
      <c r="D11">
        <f>SUM(C1:C11)</f>
        <v>27412.577564135932</v>
      </c>
      <c r="E11" s="47">
        <f>SUM(C1:C11)</f>
        <v>27412.577564135932</v>
      </c>
      <c r="F11" s="48">
        <f t="shared" si="8"/>
        <v>7.8321650183245524</v>
      </c>
      <c r="G11" s="49">
        <f t="shared" si="9"/>
        <v>37.894590642992831</v>
      </c>
      <c r="H11" s="48">
        <v>22</v>
      </c>
      <c r="I11" s="48">
        <f t="shared" si="10"/>
        <v>10384.297520661155</v>
      </c>
    </row>
    <row r="12" spans="1:18" x14ac:dyDescent="0.25">
      <c r="A12" s="34">
        <v>0</v>
      </c>
      <c r="B12" s="45">
        <f t="shared" si="11"/>
        <v>0</v>
      </c>
      <c r="C12" s="45">
        <f t="shared" si="0"/>
        <v>0</v>
      </c>
      <c r="D12">
        <f>SUM(C1:C12)</f>
        <v>27412.577564135932</v>
      </c>
      <c r="E12" s="47">
        <f>SUM(C1:C12)</f>
        <v>27412.577564135932</v>
      </c>
      <c r="F12" s="48">
        <f>E12/$J$1</f>
        <v>7.8321650183245524</v>
      </c>
      <c r="G12" s="49">
        <f>SQRT(4*F12/(PI()))*12</f>
        <v>37.894590642992831</v>
      </c>
      <c r="H12" s="48">
        <v>24</v>
      </c>
      <c r="I12" s="48">
        <f>E12/((((H12/12)^2)/4)*PI())</f>
        <v>8725.6944444444434</v>
      </c>
    </row>
    <row r="13" spans="1:18" x14ac:dyDescent="0.25">
      <c r="A13" s="34">
        <v>0</v>
      </c>
      <c r="B13" s="45">
        <f t="shared" si="11"/>
        <v>0</v>
      </c>
      <c r="C13" s="45">
        <f t="shared" si="0"/>
        <v>0</v>
      </c>
      <c r="D13">
        <f>SUM(C1:C13)</f>
        <v>27412.577564135932</v>
      </c>
      <c r="E13" s="47">
        <f>SUM(C1:C13)</f>
        <v>27412.577564135932</v>
      </c>
      <c r="F13" s="48">
        <f t="shared" ref="F13:F14" si="12">E13/$J$1</f>
        <v>7.8321650183245524</v>
      </c>
      <c r="G13" s="49">
        <f t="shared" ref="G13:G14" si="13">SQRT(4*F13/(PI()))*12</f>
        <v>37.894590642992831</v>
      </c>
      <c r="H13" s="50">
        <v>24</v>
      </c>
      <c r="I13" s="48">
        <f t="shared" ref="I13:I14" si="14">E13/((((H13/12)^2)/4)*PI())</f>
        <v>8725.6944444444434</v>
      </c>
    </row>
    <row r="14" spans="1:18" x14ac:dyDescent="0.25">
      <c r="A14" s="34">
        <v>0</v>
      </c>
      <c r="B14" s="45">
        <f t="shared" si="11"/>
        <v>0</v>
      </c>
      <c r="C14" s="45">
        <f t="shared" si="0"/>
        <v>0</v>
      </c>
      <c r="D14">
        <f t="shared" ref="D14:D15" si="15">SUM(C5:C14)</f>
        <v>13820.826014230095</v>
      </c>
      <c r="E14" s="47">
        <f>SUM(C1:C14)</f>
        <v>27412.577564135932</v>
      </c>
      <c r="F14" s="48">
        <f t="shared" si="12"/>
        <v>7.8321650183245524</v>
      </c>
      <c r="G14" s="49">
        <f t="shared" si="13"/>
        <v>37.894590642992831</v>
      </c>
      <c r="H14" s="48">
        <v>26</v>
      </c>
      <c r="I14" s="48">
        <f t="shared" si="14"/>
        <v>7434.9112426035499</v>
      </c>
    </row>
    <row r="15" spans="1:18" x14ac:dyDescent="0.25">
      <c r="A15" s="34">
        <v>0</v>
      </c>
      <c r="B15" s="45">
        <f t="shared" si="11"/>
        <v>0</v>
      </c>
      <c r="C15" s="45">
        <f t="shared" si="0"/>
        <v>0</v>
      </c>
      <c r="D15">
        <f t="shared" si="15"/>
        <v>8933.9041086459729</v>
      </c>
      <c r="E15" s="47">
        <f>SUM(C1:C15)</f>
        <v>27412.577564135932</v>
      </c>
      <c r="F15" s="48">
        <f>E15/$J$1</f>
        <v>7.8321650183245524</v>
      </c>
      <c r="G15" s="49">
        <f>SQRT(4*F15/(PI()))*12</f>
        <v>37.894590642992831</v>
      </c>
      <c r="H15" s="48">
        <v>28</v>
      </c>
      <c r="I15" s="48">
        <f>E15/((((H15/12)^2)/4)*PI())</f>
        <v>6410.7142857142835</v>
      </c>
    </row>
    <row r="16" spans="1:18" x14ac:dyDescent="0.25">
      <c r="A16" s="34">
        <v>0</v>
      </c>
      <c r="B16" s="45">
        <f t="shared" si="11"/>
        <v>0</v>
      </c>
      <c r="C16" s="45">
        <f t="shared" si="0"/>
        <v>0</v>
      </c>
      <c r="D16">
        <f t="shared" ref="D16:D23" si="16">SUM(C7:C16)</f>
        <v>4046.9822030618511</v>
      </c>
      <c r="E16" s="47">
        <f>SUM(C1:C16)</f>
        <v>27412.577564135932</v>
      </c>
      <c r="F16" s="48">
        <f t="shared" ref="F16:F23" si="17">E16/$J$1</f>
        <v>7.8321650183245524</v>
      </c>
      <c r="G16" s="49">
        <f t="shared" ref="G16:G23" si="18">SQRT(4*F16/(PI()))*12</f>
        <v>37.894590642992831</v>
      </c>
      <c r="H16" s="48">
        <v>28</v>
      </c>
      <c r="I16" s="48">
        <f t="shared" ref="I16:I23" si="19">E16/((((H16/12)^2)/4)*PI())</f>
        <v>6410.7142857142835</v>
      </c>
    </row>
    <row r="17" spans="1:9" x14ac:dyDescent="0.25">
      <c r="A17" s="34">
        <v>0</v>
      </c>
      <c r="B17" s="45">
        <f t="shared" si="11"/>
        <v>0</v>
      </c>
      <c r="C17" s="45">
        <f t="shared" si="0"/>
        <v>0</v>
      </c>
      <c r="D17">
        <f t="shared" si="16"/>
        <v>305.43261909900764</v>
      </c>
      <c r="E17" s="47">
        <f>SUM(C1:C17)</f>
        <v>27412.577564135932</v>
      </c>
      <c r="F17" s="48">
        <f t="shared" si="17"/>
        <v>7.8321650183245524</v>
      </c>
      <c r="G17" s="49">
        <f t="shared" si="18"/>
        <v>37.894590642992831</v>
      </c>
      <c r="H17" s="48">
        <v>30</v>
      </c>
      <c r="I17" s="48">
        <f t="shared" si="19"/>
        <v>5584.4444444444434</v>
      </c>
    </row>
    <row r="18" spans="1:9" x14ac:dyDescent="0.25">
      <c r="A18" s="34">
        <v>0</v>
      </c>
      <c r="B18" s="45">
        <f t="shared" si="11"/>
        <v>0</v>
      </c>
      <c r="C18" s="45">
        <f t="shared" si="0"/>
        <v>0</v>
      </c>
      <c r="D18">
        <f t="shared" si="16"/>
        <v>0</v>
      </c>
      <c r="E18" s="47">
        <f>SUM(C1:C18)</f>
        <v>27412.577564135932</v>
      </c>
      <c r="F18" s="48">
        <f t="shared" si="17"/>
        <v>7.8321650183245524</v>
      </c>
      <c r="G18" s="49">
        <f t="shared" si="18"/>
        <v>37.894590642992831</v>
      </c>
      <c r="H18" s="48">
        <v>30</v>
      </c>
      <c r="I18" s="48">
        <f t="shared" si="19"/>
        <v>5584.4444444444434</v>
      </c>
    </row>
    <row r="19" spans="1:9" x14ac:dyDescent="0.25">
      <c r="A19" s="34">
        <v>0</v>
      </c>
      <c r="B19" s="45">
        <f t="shared" si="11"/>
        <v>0</v>
      </c>
      <c r="C19" s="45">
        <f t="shared" si="0"/>
        <v>0</v>
      </c>
      <c r="D19">
        <f t="shared" si="16"/>
        <v>0</v>
      </c>
      <c r="E19" s="47">
        <f>SUM(C1:C19)</f>
        <v>27412.577564135932</v>
      </c>
      <c r="F19" s="48">
        <f t="shared" si="17"/>
        <v>7.8321650183245524</v>
      </c>
      <c r="G19" s="49">
        <f t="shared" si="18"/>
        <v>37.894590642992831</v>
      </c>
      <c r="H19" s="48">
        <v>32</v>
      </c>
      <c r="I19" s="48">
        <f t="shared" si="19"/>
        <v>4908.2031249999991</v>
      </c>
    </row>
    <row r="20" spans="1:9" x14ac:dyDescent="0.25">
      <c r="A20" s="34">
        <v>0</v>
      </c>
      <c r="B20" s="45">
        <f t="shared" si="11"/>
        <v>0</v>
      </c>
      <c r="C20" s="45">
        <f t="shared" si="0"/>
        <v>0</v>
      </c>
      <c r="D20">
        <f t="shared" si="16"/>
        <v>0</v>
      </c>
      <c r="E20" s="47">
        <f>SUM(C1:C20)</f>
        <v>27412.577564135932</v>
      </c>
      <c r="F20" s="48">
        <f t="shared" si="17"/>
        <v>7.8321650183245524</v>
      </c>
      <c r="G20" s="49">
        <f t="shared" si="18"/>
        <v>37.894590642992831</v>
      </c>
      <c r="H20" s="48">
        <v>32</v>
      </c>
      <c r="I20" s="48">
        <f t="shared" si="19"/>
        <v>4908.2031249999991</v>
      </c>
    </row>
    <row r="21" spans="1:9" x14ac:dyDescent="0.25">
      <c r="A21" s="34">
        <v>0</v>
      </c>
      <c r="B21" s="45">
        <f t="shared" si="11"/>
        <v>0</v>
      </c>
      <c r="C21" s="45">
        <f t="shared" si="0"/>
        <v>0</v>
      </c>
      <c r="D21">
        <f t="shared" si="16"/>
        <v>0</v>
      </c>
      <c r="E21" s="47">
        <f>SUM(C1:C21)</f>
        <v>27412.577564135932</v>
      </c>
      <c r="F21" s="48">
        <f t="shared" si="17"/>
        <v>7.8321650183245524</v>
      </c>
      <c r="G21" s="49">
        <f t="shared" si="18"/>
        <v>37.894590642992831</v>
      </c>
      <c r="H21" s="48">
        <v>34</v>
      </c>
      <c r="I21" s="48">
        <f t="shared" si="19"/>
        <v>4347.7508650519021</v>
      </c>
    </row>
    <row r="22" spans="1:9" x14ac:dyDescent="0.25">
      <c r="A22" s="34">
        <v>0</v>
      </c>
      <c r="B22" s="45">
        <f t="shared" si="11"/>
        <v>0</v>
      </c>
      <c r="C22" s="45">
        <f t="shared" si="0"/>
        <v>0</v>
      </c>
      <c r="D22">
        <f t="shared" si="16"/>
        <v>0</v>
      </c>
      <c r="E22" s="47">
        <f>SUM(C1:C22)</f>
        <v>27412.577564135932</v>
      </c>
      <c r="F22" s="48">
        <f t="shared" si="17"/>
        <v>7.8321650183245524</v>
      </c>
      <c r="G22" s="49">
        <f t="shared" si="18"/>
        <v>37.894590642992831</v>
      </c>
      <c r="H22" s="48">
        <v>34</v>
      </c>
      <c r="I22" s="48">
        <f t="shared" si="19"/>
        <v>4347.7508650519021</v>
      </c>
    </row>
    <row r="23" spans="1:9" x14ac:dyDescent="0.25">
      <c r="A23" s="34">
        <v>0</v>
      </c>
      <c r="B23" s="45">
        <f t="shared" si="11"/>
        <v>0</v>
      </c>
      <c r="C23" s="45">
        <f t="shared" si="0"/>
        <v>0</v>
      </c>
      <c r="D23">
        <f t="shared" si="16"/>
        <v>0</v>
      </c>
      <c r="E23" s="47">
        <f>SUM(C1:C23)</f>
        <v>27412.577564135932</v>
      </c>
      <c r="F23" s="48">
        <f t="shared" si="17"/>
        <v>7.8321650183245524</v>
      </c>
      <c r="G23" s="49">
        <f t="shared" si="18"/>
        <v>37.894590642992831</v>
      </c>
      <c r="H23" s="48">
        <v>36</v>
      </c>
      <c r="I23" s="48">
        <f t="shared" si="19"/>
        <v>3878.0864197530855</v>
      </c>
    </row>
    <row r="24" spans="1:9" s="51" customFormat="1" x14ac:dyDescent="0.25">
      <c r="D24"/>
      <c r="E24"/>
      <c r="F24" s="52"/>
      <c r="G24" s="53"/>
      <c r="H24" s="52"/>
      <c r="I24" s="52"/>
    </row>
    <row r="25" spans="1:9" x14ac:dyDescent="0.25">
      <c r="A25" s="34"/>
      <c r="B25" s="34"/>
    </row>
    <row r="26" spans="1:9" x14ac:dyDescent="0.25">
      <c r="A26" s="45"/>
      <c r="B26" s="45"/>
      <c r="C26" s="45"/>
    </row>
    <row r="27" spans="1:9" x14ac:dyDescent="0.25">
      <c r="A27" s="45">
        <v>8</v>
      </c>
      <c r="B27" s="45">
        <f t="shared" ref="B27:B28" si="20">(A27*A27*(PI())/4)/144</f>
        <v>0.3490658503988659</v>
      </c>
      <c r="C27" s="45">
        <f t="shared" ref="C27:C28" si="21">4500*B27</f>
        <v>1570.7963267948965</v>
      </c>
      <c r="H27" t="e">
        <f>H26/H25</f>
        <v>#DIV/0!</v>
      </c>
      <c r="I27" t="e">
        <f>I25/I26</f>
        <v>#DIV/0!</v>
      </c>
    </row>
    <row r="28" spans="1:9" x14ac:dyDescent="0.25">
      <c r="A28" s="45">
        <v>7</v>
      </c>
      <c r="B28" s="45">
        <f t="shared" si="20"/>
        <v>0.26725354171163168</v>
      </c>
      <c r="C28" s="45">
        <f t="shared" si="21"/>
        <v>1202.6409377023426</v>
      </c>
      <c r="I28">
        <f>80*7*7</f>
        <v>3920</v>
      </c>
    </row>
    <row r="29" spans="1:9" x14ac:dyDescent="0.25">
      <c r="C29" s="34">
        <f>SUM(C26:C28)</f>
        <v>2773.4372644972391</v>
      </c>
      <c r="D29" s="52">
        <f>C29/4500</f>
        <v>0.61631939211049758</v>
      </c>
      <c r="E29" s="53">
        <f>SQRT(4*D29/(PI()))*12</f>
        <v>10.63014581273465</v>
      </c>
      <c r="F29" s="52">
        <v>7</v>
      </c>
      <c r="G29" s="52">
        <f>C29/((((F29/12)^2)/4)*PI())</f>
        <v>10377.551020408162</v>
      </c>
    </row>
    <row r="31" spans="1:9" x14ac:dyDescent="0.25">
      <c r="A31" s="45">
        <v>4</v>
      </c>
      <c r="B31" s="45">
        <f t="shared" ref="B31:B32" si="22">(A31*A31*(PI())/4)/144</f>
        <v>8.7266462599716474E-2</v>
      </c>
      <c r="C31" s="45">
        <f t="shared" ref="C31:C32" si="23">4500*B31</f>
        <v>392.69908169872411</v>
      </c>
    </row>
    <row r="32" spans="1:9" x14ac:dyDescent="0.25">
      <c r="A32" s="45">
        <v>4</v>
      </c>
      <c r="B32" s="45">
        <f t="shared" si="22"/>
        <v>8.7266462599716474E-2</v>
      </c>
      <c r="C32" s="45">
        <f t="shared" si="23"/>
        <v>392.69908169872411</v>
      </c>
    </row>
    <row r="33" spans="3:7" x14ac:dyDescent="0.25">
      <c r="C33" s="34">
        <f>SUM(C31:C32)</f>
        <v>785.39816339744823</v>
      </c>
      <c r="D33" s="52">
        <f>C33/4500</f>
        <v>0.17453292519943295</v>
      </c>
      <c r="E33" s="53">
        <f>SQRT(4*D33/(PI()))*12</f>
        <v>5.6568542494923797</v>
      </c>
      <c r="F33" s="52">
        <v>6</v>
      </c>
      <c r="G33" s="52">
        <f>C33/((((F33/12)^2)/4)*PI())</f>
        <v>3999.9999999999995</v>
      </c>
    </row>
    <row r="35" spans="3:7" x14ac:dyDescent="0.25">
      <c r="C35">
        <f>(C29+C33)</f>
        <v>3558.8354278946872</v>
      </c>
      <c r="D35" s="52">
        <f>C35/4500</f>
        <v>0.79085231730993044</v>
      </c>
      <c r="E35" s="53">
        <f>SQRT(4*D35/(PI()))*12</f>
        <v>12.041594578792294</v>
      </c>
      <c r="F35" s="52">
        <v>8</v>
      </c>
      <c r="G35" s="52">
        <f>C35/((((F35/12)^2)/4)*PI())</f>
        <v>10195.3125</v>
      </c>
    </row>
    <row r="37" spans="3:7" x14ac:dyDescent="0.25">
      <c r="C37" t="e">
        <f>(#REF!+C29+C33)</f>
        <v>#REF!</v>
      </c>
      <c r="D37" s="52" t="e">
        <f>C37/4500</f>
        <v>#REF!</v>
      </c>
      <c r="E37" s="53" t="e">
        <f>SQRT(4*D37/(PI()))*12</f>
        <v>#REF!</v>
      </c>
      <c r="F37" s="52">
        <v>20</v>
      </c>
      <c r="G37" s="52" t="e">
        <f>C37/((((F37/12)^2)/4)*PI())</f>
        <v>#REF!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P15" sqref="P15"/>
    </sheetView>
  </sheetViews>
  <sheetFormatPr defaultRowHeight="15" x14ac:dyDescent="0.25"/>
  <cols>
    <col min="16" max="16" width="13.7109375" bestFit="1" customWidth="1"/>
    <col min="17" max="17" width="8" bestFit="1" customWidth="1"/>
  </cols>
  <sheetData>
    <row r="1" spans="1:17" x14ac:dyDescent="0.25">
      <c r="A1" s="54" t="s">
        <v>68</v>
      </c>
      <c r="B1" s="54"/>
      <c r="G1">
        <v>3500</v>
      </c>
    </row>
    <row r="2" spans="1:17" x14ac:dyDescent="0.25">
      <c r="A2" t="s">
        <v>69</v>
      </c>
      <c r="B2" t="s">
        <v>70</v>
      </c>
      <c r="C2" t="s">
        <v>71</v>
      </c>
      <c r="D2" t="s">
        <v>72</v>
      </c>
      <c r="E2" t="s">
        <v>73</v>
      </c>
      <c r="P2" s="24" t="s">
        <v>79</v>
      </c>
      <c r="Q2" s="24" t="s">
        <v>43</v>
      </c>
    </row>
    <row r="3" spans="1:17" x14ac:dyDescent="0.25">
      <c r="A3">
        <v>42</v>
      </c>
      <c r="B3">
        <v>24</v>
      </c>
      <c r="C3">
        <f>B3*A3</f>
        <v>1008</v>
      </c>
      <c r="D3">
        <f>C3/144</f>
        <v>7</v>
      </c>
      <c r="E3">
        <f>D3*200</f>
        <v>1400</v>
      </c>
      <c r="F3">
        <f t="shared" ref="F3:F9" si="0">E3*$F$12/$E$12</f>
        <v>1362.32026495183</v>
      </c>
      <c r="G3">
        <f>F3/$G$1</f>
        <v>0.38923436141480861</v>
      </c>
      <c r="H3">
        <f>SQRT(4*G3/(PI()))*12</f>
        <v>8.4477663131577252</v>
      </c>
      <c r="I3">
        <v>9</v>
      </c>
      <c r="J3">
        <f>F3/((((I3/12)^2)/4)*PI())</f>
        <v>3083.6622825435634</v>
      </c>
      <c r="K3">
        <f>F3</f>
        <v>1362.32026495183</v>
      </c>
      <c r="L3">
        <f>K3/$G$1</f>
        <v>0.38923436141480861</v>
      </c>
      <c r="M3">
        <f>SQRT(4*L3/(PI()))*12</f>
        <v>8.4477663131577252</v>
      </c>
      <c r="N3">
        <v>9</v>
      </c>
      <c r="O3">
        <f>K3/((((N3/12)^2)/4)*PI())</f>
        <v>3083.6622825435634</v>
      </c>
      <c r="P3" s="59" t="s">
        <v>74</v>
      </c>
      <c r="Q3" s="60">
        <v>1360</v>
      </c>
    </row>
    <row r="4" spans="1:17" x14ac:dyDescent="0.25">
      <c r="A4">
        <v>42</v>
      </c>
      <c r="B4">
        <v>24</v>
      </c>
      <c r="C4">
        <f t="shared" ref="C4:C8" si="1">B4*A4</f>
        <v>1008</v>
      </c>
      <c r="D4">
        <f t="shared" ref="D4:D8" si="2">C4/144</f>
        <v>7</v>
      </c>
      <c r="E4">
        <f t="shared" ref="E4:E6" si="3">D4*200</f>
        <v>1400</v>
      </c>
      <c r="F4">
        <f t="shared" si="0"/>
        <v>1362.32026495183</v>
      </c>
      <c r="G4">
        <f t="shared" ref="G4:G11" si="4">F4/$G$1</f>
        <v>0.38923436141480861</v>
      </c>
      <c r="H4">
        <f t="shared" ref="H4:H11" si="5">SQRT(4*G4/(PI()))*12</f>
        <v>8.4477663131577252</v>
      </c>
      <c r="I4">
        <v>9</v>
      </c>
      <c r="J4">
        <f t="shared" ref="J4:J11" si="6">F4/((((I4/12)^2)/4)*PI())</f>
        <v>3083.6622825435634</v>
      </c>
      <c r="K4">
        <f>F4+K3</f>
        <v>2724.6405299036601</v>
      </c>
      <c r="L4">
        <f t="shared" ref="L4:L11" si="7">K4/$G$1</f>
        <v>0.77846872282961721</v>
      </c>
      <c r="M4">
        <f t="shared" ref="M4:M11" si="8">SQRT(4*L4/(PI()))*12</f>
        <v>11.946945691826215</v>
      </c>
      <c r="N4">
        <v>12</v>
      </c>
      <c r="O4">
        <f t="shared" ref="O4:O11" si="9">K4/((((N4/12)^2)/4)*PI())</f>
        <v>3469.1200678615087</v>
      </c>
      <c r="P4" s="59" t="s">
        <v>74</v>
      </c>
      <c r="Q4" s="60">
        <v>1360</v>
      </c>
    </row>
    <row r="5" spans="1:17" x14ac:dyDescent="0.25">
      <c r="A5">
        <v>65</v>
      </c>
      <c r="B5">
        <v>36</v>
      </c>
      <c r="C5">
        <f t="shared" si="1"/>
        <v>2340</v>
      </c>
      <c r="D5">
        <f t="shared" si="2"/>
        <v>16.25</v>
      </c>
      <c r="E5">
        <f t="shared" si="3"/>
        <v>3250</v>
      </c>
      <c r="F5">
        <f t="shared" si="0"/>
        <v>3162.5291864953197</v>
      </c>
      <c r="G5">
        <f t="shared" si="4"/>
        <v>0.90357976757009129</v>
      </c>
      <c r="H5">
        <f t="shared" si="5"/>
        <v>12.871215281882671</v>
      </c>
      <c r="I5">
        <v>14</v>
      </c>
      <c r="J5">
        <f t="shared" si="6"/>
        <v>2958.360407724464</v>
      </c>
      <c r="K5">
        <f t="shared" ref="K5:K11" si="10">F5+K4</f>
        <v>5887.1697163989793</v>
      </c>
      <c r="L5">
        <f t="shared" si="7"/>
        <v>1.6820484903997084</v>
      </c>
      <c r="M5">
        <f t="shared" si="8"/>
        <v>17.561255484617689</v>
      </c>
      <c r="N5">
        <v>18</v>
      </c>
      <c r="O5">
        <f t="shared" si="9"/>
        <v>3331.4565731050993</v>
      </c>
      <c r="P5" s="59" t="s">
        <v>75</v>
      </c>
      <c r="Q5" s="60">
        <v>3160</v>
      </c>
    </row>
    <row r="6" spans="1:17" x14ac:dyDescent="0.25">
      <c r="A6">
        <v>65</v>
      </c>
      <c r="B6">
        <v>36</v>
      </c>
      <c r="C6">
        <f t="shared" si="1"/>
        <v>2340</v>
      </c>
      <c r="D6">
        <f t="shared" si="2"/>
        <v>16.25</v>
      </c>
      <c r="E6">
        <f t="shared" si="3"/>
        <v>3250</v>
      </c>
      <c r="F6">
        <f t="shared" si="0"/>
        <v>3162.5291864953197</v>
      </c>
      <c r="G6">
        <f t="shared" si="4"/>
        <v>0.90357976757009129</v>
      </c>
      <c r="H6">
        <f t="shared" si="5"/>
        <v>12.871215281882671</v>
      </c>
      <c r="I6">
        <v>14</v>
      </c>
      <c r="J6">
        <f t="shared" si="6"/>
        <v>2958.360407724464</v>
      </c>
      <c r="K6">
        <f t="shared" si="10"/>
        <v>9049.698902894299</v>
      </c>
      <c r="L6">
        <f t="shared" si="7"/>
        <v>2.5856282579697996</v>
      </c>
      <c r="M6">
        <f t="shared" si="8"/>
        <v>21.773053920582313</v>
      </c>
      <c r="N6">
        <v>22</v>
      </c>
      <c r="O6">
        <f t="shared" si="9"/>
        <v>3428.1623338843956</v>
      </c>
      <c r="P6" s="59" t="s">
        <v>75</v>
      </c>
      <c r="Q6" s="60">
        <v>3160</v>
      </c>
    </row>
    <row r="7" spans="1:17" x14ac:dyDescent="0.25">
      <c r="A7">
        <v>65</v>
      </c>
      <c r="B7">
        <v>36</v>
      </c>
      <c r="C7">
        <f t="shared" si="1"/>
        <v>2340</v>
      </c>
      <c r="D7">
        <f t="shared" si="2"/>
        <v>16.25</v>
      </c>
      <c r="E7">
        <v>4500</v>
      </c>
      <c r="F7">
        <f t="shared" si="0"/>
        <v>4378.8865659165958</v>
      </c>
      <c r="G7">
        <f t="shared" si="4"/>
        <v>1.2511104474047416</v>
      </c>
      <c r="H7">
        <f t="shared" si="5"/>
        <v>15.145517973686168</v>
      </c>
      <c r="I7">
        <v>16</v>
      </c>
      <c r="J7">
        <f t="shared" si="6"/>
        <v>3136.1464899194439</v>
      </c>
      <c r="K7">
        <f t="shared" si="10"/>
        <v>13428.585468810896</v>
      </c>
      <c r="L7">
        <f t="shared" si="7"/>
        <v>3.8367387053745414</v>
      </c>
      <c r="M7">
        <f t="shared" si="8"/>
        <v>26.522680703877498</v>
      </c>
      <c r="N7">
        <v>26</v>
      </c>
      <c r="O7">
        <f t="shared" si="9"/>
        <v>3642.1361997328777</v>
      </c>
      <c r="P7" s="59" t="s">
        <v>76</v>
      </c>
      <c r="Q7" s="60">
        <v>4380</v>
      </c>
    </row>
    <row r="8" spans="1:17" x14ac:dyDescent="0.25">
      <c r="A8">
        <v>65</v>
      </c>
      <c r="B8">
        <v>36</v>
      </c>
      <c r="C8">
        <f t="shared" si="1"/>
        <v>2340</v>
      </c>
      <c r="D8">
        <f t="shared" si="2"/>
        <v>16.25</v>
      </c>
      <c r="E8">
        <v>4500</v>
      </c>
      <c r="F8">
        <f t="shared" si="0"/>
        <v>4378.8865659165958</v>
      </c>
      <c r="G8">
        <f t="shared" si="4"/>
        <v>1.2511104474047416</v>
      </c>
      <c r="H8">
        <f t="shared" si="5"/>
        <v>15.145517973686168</v>
      </c>
      <c r="I8">
        <v>16</v>
      </c>
      <c r="J8">
        <f t="shared" si="6"/>
        <v>3136.1464899194439</v>
      </c>
      <c r="K8">
        <f t="shared" si="10"/>
        <v>17807.472034727492</v>
      </c>
      <c r="L8">
        <f t="shared" si="7"/>
        <v>5.0878491527792837</v>
      </c>
      <c r="M8">
        <f t="shared" si="8"/>
        <v>30.542418149371972</v>
      </c>
      <c r="N8">
        <v>30</v>
      </c>
      <c r="O8">
        <f t="shared" si="9"/>
        <v>3627.7084138208916</v>
      </c>
      <c r="P8" s="59" t="s">
        <v>76</v>
      </c>
      <c r="Q8" s="60">
        <v>4380</v>
      </c>
    </row>
    <row r="9" spans="1:17" x14ac:dyDescent="0.25">
      <c r="E9">
        <v>1000</v>
      </c>
      <c r="F9">
        <f t="shared" si="0"/>
        <v>973.08590353702141</v>
      </c>
      <c r="G9">
        <f t="shared" si="4"/>
        <v>0.27802454386772041</v>
      </c>
      <c r="H9">
        <f t="shared" si="5"/>
        <v>7.1396656425174854</v>
      </c>
      <c r="I9">
        <v>8</v>
      </c>
      <c r="J9">
        <f t="shared" si="6"/>
        <v>2787.6857688172836</v>
      </c>
      <c r="K9">
        <f t="shared" si="10"/>
        <v>18780.557938264516</v>
      </c>
      <c r="L9">
        <f t="shared" si="7"/>
        <v>5.3658736966470046</v>
      </c>
      <c r="M9">
        <f t="shared" si="8"/>
        <v>31.365811513462091</v>
      </c>
      <c r="N9">
        <v>32</v>
      </c>
      <c r="O9">
        <f t="shared" si="9"/>
        <v>3362.6459586358487</v>
      </c>
      <c r="P9" s="59" t="s">
        <v>77</v>
      </c>
      <c r="Q9" s="60">
        <v>975</v>
      </c>
    </row>
    <row r="10" spans="1:17" x14ac:dyDescent="0.25">
      <c r="E10">
        <v>1000</v>
      </c>
      <c r="F10">
        <f>F9*2</f>
        <v>1946.1718070740428</v>
      </c>
      <c r="G10">
        <f t="shared" si="4"/>
        <v>0.55604908773544082</v>
      </c>
      <c r="H10">
        <f t="shared" si="5"/>
        <v>10.097011982457445</v>
      </c>
      <c r="I10">
        <v>10</v>
      </c>
      <c r="J10">
        <f t="shared" si="6"/>
        <v>3568.2377840861227</v>
      </c>
      <c r="K10">
        <f t="shared" si="10"/>
        <v>20726.729745338558</v>
      </c>
      <c r="L10">
        <f t="shared" si="7"/>
        <v>5.9219227843824456</v>
      </c>
      <c r="M10">
        <f t="shared" si="8"/>
        <v>32.950929924236135</v>
      </c>
      <c r="N10">
        <v>32</v>
      </c>
      <c r="O10">
        <f t="shared" si="9"/>
        <v>3711.1066797380095</v>
      </c>
      <c r="P10" s="59" t="s">
        <v>77</v>
      </c>
      <c r="Q10" s="60">
        <v>975</v>
      </c>
    </row>
    <row r="11" spans="1:17" x14ac:dyDescent="0.25">
      <c r="E11">
        <f>0.0873*2900</f>
        <v>253.17000000000002</v>
      </c>
      <c r="F11">
        <f>E11*$F$12/$E$12</f>
        <v>246.35615819846771</v>
      </c>
      <c r="G11">
        <f t="shared" si="4"/>
        <v>7.0387473770990777E-2</v>
      </c>
      <c r="H11">
        <f t="shared" si="5"/>
        <v>3.5923942668545958</v>
      </c>
      <c r="I11">
        <v>4</v>
      </c>
      <c r="J11">
        <f t="shared" si="6"/>
        <v>2823.0336243658867</v>
      </c>
      <c r="K11">
        <f t="shared" si="10"/>
        <v>20973.085903537027</v>
      </c>
      <c r="L11">
        <f t="shared" si="7"/>
        <v>5.9923102581534362</v>
      </c>
      <c r="M11">
        <f t="shared" si="8"/>
        <v>33.146177448394411</v>
      </c>
      <c r="N11">
        <v>32</v>
      </c>
      <c r="O11">
        <f t="shared" si="9"/>
        <v>3755.2165801187266</v>
      </c>
      <c r="P11" s="59" t="s">
        <v>78</v>
      </c>
      <c r="Q11" s="60">
        <v>250</v>
      </c>
    </row>
    <row r="12" spans="1:17" x14ac:dyDescent="0.25">
      <c r="E12">
        <f>SUM(E3:E11)</f>
        <v>20553.169999999998</v>
      </c>
      <c r="F12">
        <v>20000</v>
      </c>
      <c r="P12" s="59" t="s">
        <v>50</v>
      </c>
      <c r="Q12" s="60">
        <f>SUM(Q3:Q11)</f>
        <v>20000</v>
      </c>
    </row>
    <row r="16" spans="1:17" x14ac:dyDescent="0.25">
      <c r="A16" s="54" t="s">
        <v>68</v>
      </c>
      <c r="B16" s="54"/>
      <c r="G16">
        <v>3500</v>
      </c>
    </row>
    <row r="17" spans="1:10" x14ac:dyDescent="0.25">
      <c r="A17" t="s">
        <v>69</v>
      </c>
      <c r="B17" t="s">
        <v>70</v>
      </c>
      <c r="C17" t="s">
        <v>71</v>
      </c>
      <c r="D17" t="s">
        <v>72</v>
      </c>
      <c r="E17" t="s">
        <v>73</v>
      </c>
    </row>
    <row r="18" spans="1:10" x14ac:dyDescent="0.25">
      <c r="A18">
        <v>42</v>
      </c>
      <c r="B18">
        <v>24</v>
      </c>
      <c r="C18">
        <f>B18*A18</f>
        <v>1008</v>
      </c>
      <c r="D18">
        <f>C18/144</f>
        <v>7</v>
      </c>
      <c r="E18">
        <f>D18*200</f>
        <v>1400</v>
      </c>
      <c r="F18">
        <f t="shared" ref="F18:F23" si="11">E18*$F$12/$E$12</f>
        <v>1362.32026495183</v>
      </c>
      <c r="G18">
        <f>F18/$G$1</f>
        <v>0.38923436141480861</v>
      </c>
      <c r="H18">
        <f>SQRT(4*G18/(PI()))*12</f>
        <v>8.4477663131577252</v>
      </c>
      <c r="I18">
        <v>9</v>
      </c>
      <c r="J18">
        <f>F18/((((I18/12)^2)/4)*PI())</f>
        <v>3083.6622825435634</v>
      </c>
    </row>
    <row r="19" spans="1:10" x14ac:dyDescent="0.25">
      <c r="A19">
        <v>42</v>
      </c>
      <c r="B19">
        <v>24</v>
      </c>
      <c r="C19">
        <f t="shared" ref="C19:C21" si="12">B19*A19</f>
        <v>1008</v>
      </c>
      <c r="D19">
        <f t="shared" ref="D19:D21" si="13">C19/144</f>
        <v>7</v>
      </c>
      <c r="E19">
        <f t="shared" ref="E19:E21" si="14">D19*200</f>
        <v>1400</v>
      </c>
      <c r="F19">
        <f t="shared" si="11"/>
        <v>1362.32026495183</v>
      </c>
      <c r="G19">
        <f t="shared" ref="G19:G24" si="15">F19/$G$1</f>
        <v>0.38923436141480861</v>
      </c>
      <c r="H19">
        <f t="shared" ref="H19:H24" si="16">SQRT(4*G19/(PI()))*12</f>
        <v>8.4477663131577252</v>
      </c>
      <c r="I19">
        <v>9</v>
      </c>
      <c r="J19">
        <f t="shared" ref="J19:J24" si="17">F19/((((I19/12)^2)/4)*PI())</f>
        <v>3083.6622825435634</v>
      </c>
    </row>
    <row r="20" spans="1:10" x14ac:dyDescent="0.25">
      <c r="A20">
        <v>65</v>
      </c>
      <c r="B20">
        <v>36</v>
      </c>
      <c r="C20">
        <f t="shared" si="12"/>
        <v>2340</v>
      </c>
      <c r="D20">
        <f t="shared" si="13"/>
        <v>16.25</v>
      </c>
      <c r="E20">
        <f t="shared" si="14"/>
        <v>3250</v>
      </c>
      <c r="F20">
        <f t="shared" si="11"/>
        <v>3162.5291864953197</v>
      </c>
      <c r="G20">
        <f t="shared" si="15"/>
        <v>0.90357976757009129</v>
      </c>
      <c r="H20">
        <f t="shared" si="16"/>
        <v>12.871215281882671</v>
      </c>
      <c r="I20">
        <v>14</v>
      </c>
      <c r="J20">
        <f t="shared" si="17"/>
        <v>2958.360407724464</v>
      </c>
    </row>
    <row r="21" spans="1:10" x14ac:dyDescent="0.25">
      <c r="A21">
        <v>65</v>
      </c>
      <c r="B21">
        <v>36</v>
      </c>
      <c r="C21">
        <f t="shared" si="12"/>
        <v>2340</v>
      </c>
      <c r="D21">
        <f t="shared" si="13"/>
        <v>16.25</v>
      </c>
      <c r="E21">
        <f t="shared" si="14"/>
        <v>3250</v>
      </c>
      <c r="F21">
        <f t="shared" si="11"/>
        <v>3162.5291864953197</v>
      </c>
      <c r="G21">
        <f t="shared" si="15"/>
        <v>0.90357976757009129</v>
      </c>
      <c r="H21">
        <f t="shared" si="16"/>
        <v>12.871215281882671</v>
      </c>
      <c r="I21">
        <v>14</v>
      </c>
      <c r="J21">
        <f t="shared" si="17"/>
        <v>2958.360407724464</v>
      </c>
    </row>
    <row r="22" spans="1:10" x14ac:dyDescent="0.25">
      <c r="E22">
        <v>1000</v>
      </c>
      <c r="F22">
        <f t="shared" si="11"/>
        <v>973.08590353702141</v>
      </c>
      <c r="G22">
        <f t="shared" si="15"/>
        <v>0.27802454386772041</v>
      </c>
      <c r="H22">
        <f t="shared" si="16"/>
        <v>7.1396656425174854</v>
      </c>
      <c r="I22">
        <v>8</v>
      </c>
      <c r="J22">
        <f t="shared" si="17"/>
        <v>2787.6857688172836</v>
      </c>
    </row>
    <row r="23" spans="1:10" x14ac:dyDescent="0.25">
      <c r="E23">
        <v>1000</v>
      </c>
      <c r="F23">
        <f t="shared" si="11"/>
        <v>973.08590353702141</v>
      </c>
      <c r="G23">
        <f t="shared" si="15"/>
        <v>0.27802454386772041</v>
      </c>
      <c r="H23">
        <f t="shared" si="16"/>
        <v>7.1396656425174854</v>
      </c>
      <c r="I23">
        <v>8</v>
      </c>
      <c r="J23">
        <f t="shared" si="17"/>
        <v>2787.6857688172836</v>
      </c>
    </row>
    <row r="24" spans="1:10" x14ac:dyDescent="0.25">
      <c r="E24">
        <f>0.0873*2900</f>
        <v>253.17000000000002</v>
      </c>
      <c r="F24">
        <f>E24*$F$12/$E$12</f>
        <v>246.35615819846771</v>
      </c>
      <c r="G24">
        <f t="shared" si="15"/>
        <v>7.0387473770990777E-2</v>
      </c>
      <c r="H24">
        <f t="shared" si="16"/>
        <v>3.5923942668545958</v>
      </c>
      <c r="I24">
        <v>4</v>
      </c>
      <c r="J24">
        <f t="shared" si="17"/>
        <v>2823.0336243658867</v>
      </c>
    </row>
    <row r="25" spans="1:10" x14ac:dyDescent="0.25">
      <c r="E25">
        <f>SUM(E18:E24)</f>
        <v>11553.17</v>
      </c>
      <c r="F25">
        <v>20000</v>
      </c>
    </row>
  </sheetData>
  <mergeCells count="2">
    <mergeCell ref="A1:B1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layout</vt:lpstr>
      <vt:lpstr>K&amp;B branch size</vt:lpstr>
      <vt:lpstr>Air Change Calculator</vt:lpstr>
      <vt:lpstr>Sheet1</vt:lpstr>
      <vt:lpstr>Sheet3</vt:lpstr>
      <vt:lpstr>Sheet2</vt:lpstr>
      <vt:lpstr>Sheet4</vt:lpstr>
      <vt:lpstr>Sheet5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2012-10-15T18:14:18Z</dcterms:created>
  <dcterms:modified xsi:type="dcterms:W3CDTF">2014-10-15T19:56:14Z</dcterms:modified>
</cp:coreProperties>
</file>