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750" yWindow="1635" windowWidth="27795" windowHeight="12750"/>
  </bookViews>
  <sheets>
    <sheet name="layout" sheetId="1" r:id="rId1"/>
    <sheet name="K&amp;B branch size" sheetId="2" r:id="rId2"/>
    <sheet name="Air Change Calculator" sheetId="3" r:id="rId3"/>
    <sheet name="Sheet1" sheetId="4" r:id="rId4"/>
  </sheets>
  <definedNames>
    <definedName name="solver_adj" localSheetId="0" hidden="1">layout!$R$4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layout!$R$2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1156</definedName>
    <definedName name="solver_ver" localSheetId="0" hidden="1">3</definedName>
  </definedNames>
  <calcPr calcId="145621"/>
</workbook>
</file>

<file path=xl/calcChain.xml><?xml version="1.0" encoding="utf-8"?>
<calcChain xmlns="http://schemas.openxmlformats.org/spreadsheetml/2006/main">
  <c r="W38" i="1" l="1"/>
  <c r="H52" i="1" s="1"/>
  <c r="W37" i="1"/>
  <c r="C52" i="1" s="1"/>
  <c r="W36" i="1"/>
  <c r="R47" i="1" s="1"/>
  <c r="W35" i="1"/>
  <c r="M47" i="1" s="1"/>
  <c r="W34" i="1"/>
  <c r="H47" i="1" s="1"/>
  <c r="W33" i="1"/>
  <c r="C47" i="1" s="1"/>
  <c r="E48" i="1" s="1"/>
  <c r="W32" i="1"/>
  <c r="R42" i="1" s="1"/>
  <c r="W31" i="1"/>
  <c r="M42" i="1" s="1"/>
  <c r="W30" i="1"/>
  <c r="H42" i="1" s="1"/>
  <c r="W29" i="1"/>
  <c r="C42" i="1" s="1"/>
  <c r="W28" i="1"/>
  <c r="R37" i="1" s="1"/>
  <c r="W27" i="1"/>
  <c r="M37" i="1" s="1"/>
  <c r="W26" i="1"/>
  <c r="H37" i="1" s="1"/>
  <c r="W25" i="1"/>
  <c r="C37" i="1" s="1"/>
  <c r="W24" i="1"/>
  <c r="J54" i="1"/>
  <c r="E54" i="1"/>
  <c r="I53" i="1"/>
  <c r="H53" i="1"/>
  <c r="D53" i="1"/>
  <c r="C53" i="1"/>
  <c r="T49" i="1"/>
  <c r="O49" i="1"/>
  <c r="J49" i="1"/>
  <c r="E49" i="1"/>
  <c r="S48" i="1"/>
  <c r="R48" i="1"/>
  <c r="N48" i="1"/>
  <c r="M48" i="1"/>
  <c r="I48" i="1"/>
  <c r="H48" i="1"/>
  <c r="D48" i="1"/>
  <c r="C48" i="1"/>
  <c r="T44" i="1"/>
  <c r="O44" i="1"/>
  <c r="J44" i="1"/>
  <c r="E44" i="1"/>
  <c r="S43" i="1"/>
  <c r="R43" i="1"/>
  <c r="N43" i="1"/>
  <c r="M43" i="1"/>
  <c r="I43" i="1"/>
  <c r="H43" i="1"/>
  <c r="D43" i="1"/>
  <c r="C43" i="1"/>
  <c r="T39" i="1"/>
  <c r="O39" i="1"/>
  <c r="J39" i="1"/>
  <c r="E39" i="1"/>
  <c r="S38" i="1"/>
  <c r="R38" i="1"/>
  <c r="N38" i="1"/>
  <c r="M38" i="1"/>
  <c r="I38" i="1"/>
  <c r="H38" i="1"/>
  <c r="D38" i="1"/>
  <c r="C38" i="1"/>
  <c r="H49" i="1" l="1"/>
  <c r="H50" i="1" s="1"/>
  <c r="J43" i="1"/>
  <c r="N49" i="1"/>
  <c r="N50" i="1" s="1"/>
  <c r="T38" i="1"/>
  <c r="E53" i="1"/>
  <c r="E43" i="1"/>
  <c r="H44" i="1"/>
  <c r="H45" i="1" s="1"/>
  <c r="M49" i="1"/>
  <c r="M50" i="1" s="1"/>
  <c r="O48" i="1"/>
  <c r="I54" i="1"/>
  <c r="I55" i="1" s="1"/>
  <c r="S39" i="1"/>
  <c r="S40" i="1" s="1"/>
  <c r="I44" i="1"/>
  <c r="I45" i="1" s="1"/>
  <c r="S44" i="1"/>
  <c r="S45" i="1" s="1"/>
  <c r="T48" i="1"/>
  <c r="I49" i="1"/>
  <c r="I50" i="1" s="1"/>
  <c r="R49" i="1"/>
  <c r="R50" i="1" s="1"/>
  <c r="N39" i="1"/>
  <c r="N40" i="1" s="1"/>
  <c r="N44" i="1"/>
  <c r="N45" i="1" s="1"/>
  <c r="D44" i="1"/>
  <c r="D45" i="1" s="1"/>
  <c r="H54" i="1"/>
  <c r="H55" i="1" s="1"/>
  <c r="H39" i="1"/>
  <c r="H40" i="1" s="1"/>
  <c r="D39" i="1"/>
  <c r="D40" i="1" s="1"/>
  <c r="E38" i="1"/>
  <c r="I39" i="1"/>
  <c r="I40" i="1" s="1"/>
  <c r="C49" i="1"/>
  <c r="C50" i="1" s="1"/>
  <c r="C54" i="1"/>
  <c r="C55" i="1" s="1"/>
  <c r="J48" i="1"/>
  <c r="D49" i="1"/>
  <c r="D50" i="1" s="1"/>
  <c r="J53" i="1"/>
  <c r="D54" i="1"/>
  <c r="D55" i="1" s="1"/>
  <c r="T43" i="1"/>
  <c r="S49" i="1"/>
  <c r="S50" i="1" s="1"/>
  <c r="O38" i="1"/>
  <c r="C39" i="1"/>
  <c r="C40" i="1" s="1"/>
  <c r="O43" i="1"/>
  <c r="C44" i="1"/>
  <c r="C45" i="1" s="1"/>
  <c r="J38" i="1"/>
  <c r="R39" i="1"/>
  <c r="R40" i="1" s="1"/>
  <c r="R44" i="1"/>
  <c r="R45" i="1" s="1"/>
  <c r="M39" i="1"/>
  <c r="M40" i="1" s="1"/>
  <c r="M44" i="1"/>
  <c r="M45" i="1" s="1"/>
  <c r="M3" i="1"/>
  <c r="G19" i="4" l="1"/>
  <c r="BG14" i="4"/>
  <c r="BJ14" i="4" s="1"/>
  <c r="BK14" i="4" s="1"/>
  <c r="AZ12" i="4"/>
  <c r="BC12" i="4" s="1"/>
  <c r="BD12" i="4" s="1"/>
  <c r="AS10" i="4"/>
  <c r="AV10" i="4" s="1"/>
  <c r="AW10" i="4" s="1"/>
  <c r="AL8" i="4"/>
  <c r="AR8" i="4" s="1"/>
  <c r="AE6" i="4"/>
  <c r="AK6" i="4" s="1"/>
  <c r="X4" i="4"/>
  <c r="AD4" i="4"/>
  <c r="AA4" i="4"/>
  <c r="AB4" i="4" s="1"/>
  <c r="Y4" i="4"/>
  <c r="Z4" i="4" s="1"/>
  <c r="Q2" i="4"/>
  <c r="T2" i="4" s="1"/>
  <c r="U2" i="4" s="1"/>
  <c r="P14" i="4"/>
  <c r="M14" i="4"/>
  <c r="N14" i="4" s="1"/>
  <c r="K14" i="4"/>
  <c r="L14" i="4" s="1"/>
  <c r="J14" i="4"/>
  <c r="P12" i="4"/>
  <c r="M12" i="4"/>
  <c r="N12" i="4" s="1"/>
  <c r="K12" i="4"/>
  <c r="L12" i="4" s="1"/>
  <c r="J12" i="4"/>
  <c r="M10" i="4"/>
  <c r="N10" i="4" s="1"/>
  <c r="L10" i="4"/>
  <c r="K10" i="4"/>
  <c r="J10" i="4"/>
  <c r="P10" i="4" s="1"/>
  <c r="P8" i="4"/>
  <c r="M8" i="4"/>
  <c r="N8" i="4" s="1"/>
  <c r="K8" i="4"/>
  <c r="L8" i="4" s="1"/>
  <c r="J8" i="4"/>
  <c r="J6" i="4"/>
  <c r="P6" i="4" s="1"/>
  <c r="P4" i="4"/>
  <c r="M4" i="4"/>
  <c r="N4" i="4" s="1"/>
  <c r="K4" i="4"/>
  <c r="L4" i="4" s="1"/>
  <c r="J4" i="4"/>
  <c r="P2" i="4"/>
  <c r="M2" i="4"/>
  <c r="N2" i="4" s="1"/>
  <c r="K2" i="4"/>
  <c r="L2" i="4" s="1"/>
  <c r="J2" i="4"/>
  <c r="P16" i="4"/>
  <c r="M16" i="4"/>
  <c r="K16" i="4"/>
  <c r="F14" i="4"/>
  <c r="G14" i="4" s="1"/>
  <c r="D6" i="4"/>
  <c r="E6" i="4" s="1"/>
  <c r="D14" i="4"/>
  <c r="E14" i="4" s="1"/>
  <c r="C5" i="4"/>
  <c r="I5" i="4" s="1"/>
  <c r="C6" i="4"/>
  <c r="C9" i="4"/>
  <c r="I9" i="4" s="1"/>
  <c r="C10" i="4"/>
  <c r="I10" i="4" s="1"/>
  <c r="C13" i="4"/>
  <c r="I13" i="4" s="1"/>
  <c r="C14" i="4"/>
  <c r="I14" i="4" s="1"/>
  <c r="C17" i="4"/>
  <c r="I17" i="4" s="1"/>
  <c r="C2" i="4"/>
  <c r="I2" i="4" s="1"/>
  <c r="B19" i="4"/>
  <c r="C3" i="4" s="1"/>
  <c r="B18" i="4"/>
  <c r="C4" i="4" s="1"/>
  <c r="AD3" i="1"/>
  <c r="BM14" i="4" l="1"/>
  <c r="BH14" i="4"/>
  <c r="BI14" i="4" s="1"/>
  <c r="BF12" i="4"/>
  <c r="BA12" i="4"/>
  <c r="BB12" i="4" s="1"/>
  <c r="AY10" i="4"/>
  <c r="AT10" i="4"/>
  <c r="AU10" i="4" s="1"/>
  <c r="AM8" i="4"/>
  <c r="AN8" i="4" s="1"/>
  <c r="AO8" i="4"/>
  <c r="AP8" i="4" s="1"/>
  <c r="AF6" i="4"/>
  <c r="AG6" i="4" s="1"/>
  <c r="AH6" i="4"/>
  <c r="AI6" i="4" s="1"/>
  <c r="W2" i="4"/>
  <c r="R2" i="4"/>
  <c r="S2" i="4" s="1"/>
  <c r="M6" i="4"/>
  <c r="N6" i="4" s="1"/>
  <c r="K6" i="4"/>
  <c r="L6" i="4" s="1"/>
  <c r="I3" i="4"/>
  <c r="F3" i="4"/>
  <c r="G3" i="4" s="1"/>
  <c r="D3" i="4"/>
  <c r="E3" i="4" s="1"/>
  <c r="D2" i="4"/>
  <c r="E2" i="4" s="1"/>
  <c r="F2" i="4"/>
  <c r="G2" i="4" s="1"/>
  <c r="I4" i="4"/>
  <c r="F4" i="4"/>
  <c r="G4" i="4" s="1"/>
  <c r="D4" i="4"/>
  <c r="E4" i="4" s="1"/>
  <c r="I6" i="4"/>
  <c r="F6" i="4"/>
  <c r="G6" i="4" s="1"/>
  <c r="D10" i="4"/>
  <c r="E10" i="4" s="1"/>
  <c r="F10" i="4"/>
  <c r="G10" i="4" s="1"/>
  <c r="D17" i="4"/>
  <c r="E17" i="4" s="1"/>
  <c r="D13" i="4"/>
  <c r="E13" i="4" s="1"/>
  <c r="D9" i="4"/>
  <c r="E9" i="4" s="1"/>
  <c r="D5" i="4"/>
  <c r="E5" i="4" s="1"/>
  <c r="F17" i="4"/>
  <c r="G17" i="4" s="1"/>
  <c r="F13" i="4"/>
  <c r="G13" i="4" s="1"/>
  <c r="F9" i="4"/>
  <c r="G9" i="4" s="1"/>
  <c r="F5" i="4"/>
  <c r="G5" i="4" s="1"/>
  <c r="C16" i="4"/>
  <c r="C12" i="4"/>
  <c r="C8" i="4"/>
  <c r="C15" i="4"/>
  <c r="C11" i="4"/>
  <c r="C7" i="4"/>
  <c r="I15" i="4" l="1"/>
  <c r="F15" i="4"/>
  <c r="G15" i="4" s="1"/>
  <c r="D15" i="4"/>
  <c r="E15" i="4" s="1"/>
  <c r="I8" i="4"/>
  <c r="F8" i="4"/>
  <c r="G8" i="4" s="1"/>
  <c r="D8" i="4"/>
  <c r="E8" i="4" s="1"/>
  <c r="I7" i="4"/>
  <c r="F7" i="4"/>
  <c r="G7" i="4" s="1"/>
  <c r="D7" i="4"/>
  <c r="E7" i="4" s="1"/>
  <c r="I12" i="4"/>
  <c r="F12" i="4"/>
  <c r="G12" i="4" s="1"/>
  <c r="D12" i="4"/>
  <c r="E12" i="4" s="1"/>
  <c r="I11" i="4"/>
  <c r="F11" i="4"/>
  <c r="G11" i="4" s="1"/>
  <c r="D11" i="4"/>
  <c r="E11" i="4" s="1"/>
  <c r="I16" i="4"/>
  <c r="F16" i="4"/>
  <c r="G16" i="4" s="1"/>
  <c r="D16" i="4"/>
  <c r="E16" i="4" s="1"/>
  <c r="J16" i="4"/>
  <c r="N16" i="4" l="1"/>
  <c r="L16" i="4"/>
  <c r="C6" i="3"/>
  <c r="R2" i="1" l="1"/>
  <c r="T9" i="1"/>
  <c r="G4" i="1" l="1"/>
  <c r="R32" i="1" l="1"/>
  <c r="W23" i="1"/>
  <c r="M32" i="1" s="1"/>
  <c r="W22" i="1"/>
  <c r="H32" i="1" s="1"/>
  <c r="W21" i="1"/>
  <c r="C32" i="1" s="1"/>
  <c r="W19" i="1"/>
  <c r="W20" i="1"/>
  <c r="T34" i="1"/>
  <c r="O34" i="1"/>
  <c r="J34" i="1"/>
  <c r="E34" i="1"/>
  <c r="S33" i="1"/>
  <c r="R33" i="1"/>
  <c r="N33" i="1"/>
  <c r="M33" i="1"/>
  <c r="I33" i="1"/>
  <c r="H33" i="1"/>
  <c r="D33" i="1"/>
  <c r="C33" i="1"/>
  <c r="N34" i="1" l="1"/>
  <c r="N35" i="1" s="1"/>
  <c r="T33" i="1"/>
  <c r="H34" i="1"/>
  <c r="H35" i="1" s="1"/>
  <c r="D34" i="1"/>
  <c r="D35" i="1" s="1"/>
  <c r="O33" i="1"/>
  <c r="R34" i="1"/>
  <c r="R35" i="1" s="1"/>
  <c r="I34" i="1"/>
  <c r="I35" i="1" s="1"/>
  <c r="E33" i="1"/>
  <c r="M34" i="1"/>
  <c r="M35" i="1" s="1"/>
  <c r="S34" i="1"/>
  <c r="S35" i="1" s="1"/>
  <c r="C34" i="1"/>
  <c r="C35" i="1" s="1"/>
  <c r="J33" i="1"/>
  <c r="H3" i="1"/>
  <c r="T29" i="1" l="1"/>
  <c r="S28" i="1"/>
  <c r="R28" i="1"/>
  <c r="O29" i="1"/>
  <c r="N28" i="1"/>
  <c r="M28" i="1"/>
  <c r="R27" i="1"/>
  <c r="M27" i="1"/>
  <c r="W18" i="1"/>
  <c r="M29" i="1" l="1"/>
  <c r="M30" i="1" s="1"/>
  <c r="T28" i="1"/>
  <c r="N29" i="1"/>
  <c r="N30" i="1" s="1"/>
  <c r="O28" i="1"/>
  <c r="R29" i="1"/>
  <c r="R30" i="1" s="1"/>
  <c r="S29" i="1"/>
  <c r="S30" i="1" s="1"/>
  <c r="I3" i="2"/>
  <c r="H3" i="2"/>
  <c r="I28" i="1" l="1"/>
  <c r="H28" i="1"/>
  <c r="D28" i="1"/>
  <c r="C28" i="1"/>
  <c r="D23" i="1"/>
  <c r="C23" i="1"/>
  <c r="I23" i="1"/>
  <c r="H23" i="1"/>
  <c r="I18" i="1"/>
  <c r="H18" i="1"/>
  <c r="D18" i="1"/>
  <c r="C18" i="1"/>
  <c r="D13" i="1"/>
  <c r="C13" i="1"/>
  <c r="I13" i="1"/>
  <c r="H13" i="1"/>
  <c r="N13" i="1"/>
  <c r="M13" i="1"/>
  <c r="N18" i="1"/>
  <c r="M18" i="1"/>
  <c r="N23" i="1"/>
  <c r="M23" i="1"/>
  <c r="S23" i="1"/>
  <c r="R23" i="1"/>
  <c r="S18" i="1"/>
  <c r="R18" i="1"/>
  <c r="S13" i="1"/>
  <c r="R13" i="1"/>
  <c r="S8" i="1"/>
  <c r="R8" i="1"/>
  <c r="N8" i="1"/>
  <c r="M8" i="1"/>
  <c r="I8" i="1"/>
  <c r="H8" i="1"/>
  <c r="D8" i="1"/>
  <c r="C8" i="1"/>
  <c r="H27" i="1"/>
  <c r="W17" i="1"/>
  <c r="C27" i="1" s="1"/>
  <c r="W16" i="1"/>
  <c r="R22" i="1" s="1"/>
  <c r="W15" i="1"/>
  <c r="W14" i="1"/>
  <c r="H22" i="1" s="1"/>
  <c r="W13" i="1"/>
  <c r="C22" i="1" s="1"/>
  <c r="W12" i="1"/>
  <c r="R17" i="1" s="1"/>
  <c r="W11" i="1"/>
  <c r="M17" i="1" s="1"/>
  <c r="W10" i="1"/>
  <c r="H17" i="1" s="1"/>
  <c r="W9" i="1"/>
  <c r="C17" i="1" s="1"/>
  <c r="W8" i="1"/>
  <c r="R12" i="1" s="1"/>
  <c r="W7" i="1"/>
  <c r="M12" i="1" s="1"/>
  <c r="W6" i="1"/>
  <c r="H12" i="1" s="1"/>
  <c r="W5" i="1"/>
  <c r="C12" i="1" s="1"/>
  <c r="W4" i="1"/>
  <c r="R7" i="1" s="1"/>
  <c r="W3" i="1"/>
  <c r="M7" i="1" s="1"/>
  <c r="W2" i="1"/>
  <c r="W1" i="1"/>
  <c r="C7" i="1" s="1"/>
  <c r="H24" i="1" l="1"/>
  <c r="H25" i="1" s="1"/>
  <c r="M22" i="1"/>
  <c r="M24" i="1" s="1"/>
  <c r="M25" i="1" s="1"/>
  <c r="J29" i="1"/>
  <c r="J28" i="1" s="1"/>
  <c r="I29" i="1"/>
  <c r="I30" i="1" s="1"/>
  <c r="H29" i="1"/>
  <c r="H30" i="1" s="1"/>
  <c r="E29" i="1"/>
  <c r="E28" i="1" s="1"/>
  <c r="D29" i="1"/>
  <c r="D30" i="1" s="1"/>
  <c r="C29" i="1"/>
  <c r="C30" i="1" s="1"/>
  <c r="T24" i="1"/>
  <c r="T23" i="1" s="1"/>
  <c r="S24" i="1"/>
  <c r="S25" i="1" s="1"/>
  <c r="R24" i="1"/>
  <c r="R25" i="1" s="1"/>
  <c r="O24" i="1"/>
  <c r="J24" i="1"/>
  <c r="E24" i="1"/>
  <c r="E23" i="1" s="1"/>
  <c r="C24" i="1"/>
  <c r="C25" i="1" s="1"/>
  <c r="D24" i="1"/>
  <c r="D25" i="1" s="1"/>
  <c r="T19" i="1"/>
  <c r="T18" i="1" s="1"/>
  <c r="S19" i="1"/>
  <c r="S20" i="1" s="1"/>
  <c r="R19" i="1"/>
  <c r="R20" i="1" s="1"/>
  <c r="O19" i="1"/>
  <c r="J19" i="1"/>
  <c r="J18" i="1" s="1"/>
  <c r="I19" i="1"/>
  <c r="I20" i="1" s="1"/>
  <c r="H19" i="1"/>
  <c r="H20" i="1" s="1"/>
  <c r="E19" i="1"/>
  <c r="M19" i="1"/>
  <c r="M20" i="1" s="1"/>
  <c r="T14" i="1"/>
  <c r="T13" i="1" s="1"/>
  <c r="S14" i="1"/>
  <c r="S15" i="1" s="1"/>
  <c r="R14" i="1"/>
  <c r="R15" i="1" s="1"/>
  <c r="O14" i="1"/>
  <c r="O13" i="1" s="1"/>
  <c r="M14" i="1"/>
  <c r="M15" i="1" s="1"/>
  <c r="J14" i="1"/>
  <c r="J13" i="1" s="1"/>
  <c r="E14" i="1"/>
  <c r="E13" i="1" s="1"/>
  <c r="C14" i="1"/>
  <c r="C15" i="1" s="1"/>
  <c r="N14" i="1"/>
  <c r="N15" i="1" s="1"/>
  <c r="D14" i="1"/>
  <c r="D15" i="1" s="1"/>
  <c r="S9" i="1"/>
  <c r="S10" i="1" s="1"/>
  <c r="R9" i="1"/>
  <c r="R10" i="1" s="1"/>
  <c r="O9" i="1"/>
  <c r="J9" i="1"/>
  <c r="E9" i="1"/>
  <c r="N24" i="1" l="1"/>
  <c r="N25" i="1" s="1"/>
  <c r="O23" i="1"/>
  <c r="I24" i="1"/>
  <c r="I25" i="1" s="1"/>
  <c r="J23" i="1"/>
  <c r="N19" i="1"/>
  <c r="N20" i="1" s="1"/>
  <c r="O18" i="1"/>
  <c r="H14" i="1"/>
  <c r="H15" i="1" s="1"/>
  <c r="I14" i="1"/>
  <c r="I15" i="1" s="1"/>
  <c r="T8" i="1"/>
  <c r="D19" i="1" l="1"/>
  <c r="D20" i="1" s="1"/>
  <c r="E18" i="1"/>
  <c r="C19" i="1"/>
  <c r="C20" i="1" s="1"/>
  <c r="E8" i="1" l="1"/>
  <c r="C9" i="1" l="1"/>
  <c r="C10" i="1" s="1"/>
  <c r="D9" i="1"/>
  <c r="D10" i="1" s="1"/>
  <c r="H7" i="1"/>
  <c r="J8" i="1" s="1"/>
  <c r="I9" i="1" l="1"/>
  <c r="I10" i="1" s="1"/>
  <c r="H9" i="1"/>
  <c r="H10" i="1" s="1"/>
  <c r="O8" i="1"/>
  <c r="N9" i="1" l="1"/>
  <c r="N10" i="1" s="1"/>
  <c r="M9" i="1"/>
  <c r="M10" i="1" s="1"/>
</calcChain>
</file>

<file path=xl/sharedStrings.xml><?xml version="1.0" encoding="utf-8"?>
<sst xmlns="http://schemas.openxmlformats.org/spreadsheetml/2006/main" count="152" uniqueCount="68">
  <si>
    <t>total cfm</t>
  </si>
  <si>
    <t>drops</t>
  </si>
  <si>
    <t>desired fpm</t>
  </si>
  <si>
    <t>drop 1</t>
  </si>
  <si>
    <t>drop 2</t>
  </si>
  <si>
    <t>drop 3</t>
  </si>
  <si>
    <t>drop 4</t>
  </si>
  <si>
    <t>drop 5</t>
  </si>
  <si>
    <t>drop 6</t>
  </si>
  <si>
    <t>drop 7</t>
  </si>
  <si>
    <t>drop 8</t>
  </si>
  <si>
    <t>drop 9</t>
  </si>
  <si>
    <t>drop 10</t>
  </si>
  <si>
    <t>drop 11</t>
  </si>
  <si>
    <t>drop 12</t>
  </si>
  <si>
    <t>drop 13</t>
  </si>
  <si>
    <t>drop 14</t>
  </si>
  <si>
    <t>drop 15</t>
  </si>
  <si>
    <t>drop 16</t>
  </si>
  <si>
    <t>drop 17</t>
  </si>
  <si>
    <t>drop 18</t>
  </si>
  <si>
    <t>desired FPM (max)</t>
  </si>
  <si>
    <t>desired FPM (min)</t>
  </si>
  <si>
    <t>A</t>
  </si>
  <si>
    <t>B</t>
  </si>
  <si>
    <t>C</t>
  </si>
  <si>
    <t>D</t>
  </si>
  <si>
    <t>E</t>
  </si>
  <si>
    <t>drop 19</t>
  </si>
  <si>
    <t>drop 20</t>
  </si>
  <si>
    <t>drop 21</t>
  </si>
  <si>
    <t>drop 22</t>
  </si>
  <si>
    <t>drop 23</t>
  </si>
  <si>
    <t>drop 24</t>
  </si>
  <si>
    <t xml:space="preserve"> </t>
  </si>
  <si>
    <t>scale</t>
  </si>
  <si>
    <t>inches_a</t>
  </si>
  <si>
    <t>inches_b</t>
  </si>
  <si>
    <t>measure_a</t>
  </si>
  <si>
    <t>measure_b</t>
  </si>
  <si>
    <t>Length</t>
  </si>
  <si>
    <t>Width</t>
  </si>
  <si>
    <t>Height</t>
  </si>
  <si>
    <t>Air change per hour</t>
  </si>
  <si>
    <t>CFM</t>
  </si>
  <si>
    <t>Volume Exchange:</t>
  </si>
  <si>
    <t>ft</t>
  </si>
  <si>
    <t>n</t>
  </si>
  <si>
    <t>Q</t>
  </si>
  <si>
    <t>V</t>
  </si>
  <si>
    <t>Guildemeister</t>
  </si>
  <si>
    <t>Tornos</t>
  </si>
  <si>
    <t>Total</t>
  </si>
  <si>
    <t>Availible</t>
  </si>
  <si>
    <t>drop 25</t>
  </si>
  <si>
    <t>drop 26</t>
  </si>
  <si>
    <t>drop 27</t>
  </si>
  <si>
    <t>drop 28</t>
  </si>
  <si>
    <t>drop 29</t>
  </si>
  <si>
    <t>drop 30</t>
  </si>
  <si>
    <t>drop 31</t>
  </si>
  <si>
    <t>drop 32</t>
  </si>
  <si>
    <t>drop 33</t>
  </si>
  <si>
    <t>drop 34</t>
  </si>
  <si>
    <t>drop 35</t>
  </si>
  <si>
    <t>drop 36</t>
  </si>
  <si>
    <t>drop 37</t>
  </si>
  <si>
    <t>drop 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</si>
</sst>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64" fontId="0" fillId="0" borderId="0" xfId="0" applyNumberFormat="1"/>
    <xf numFmtId="165" fontId="0" fillId="0" borderId="0" xfId="0" applyNumberFormat="1"/>
    <xf numFmtId="1" fontId="0" fillId="0" borderId="0" xfId="0" applyNumberFormat="1"/>
    <xf numFmtId="1" fontId="0" fillId="0" borderId="1" xfId="0" applyNumberFormat="1" applyBorder="1"/>
    <xf numFmtId="165" fontId="0" fillId="0" borderId="1" xfId="0" applyNumberFormat="1" applyBorder="1"/>
    <xf numFmtId="0" fontId="0" fillId="0" borderId="2" xfId="0" applyBorder="1"/>
    <xf numFmtId="1" fontId="0" fillId="0" borderId="3" xfId="0" applyNumberFormat="1" applyBorder="1"/>
    <xf numFmtId="1" fontId="0" fillId="0" borderId="4" xfId="0" applyNumberFormat="1" applyBorder="1"/>
    <xf numFmtId="0" fontId="0" fillId="0" borderId="5" xfId="0" applyBorder="1"/>
    <xf numFmtId="1" fontId="0" fillId="0" borderId="6" xfId="0" applyNumberFormat="1" applyBorder="1"/>
    <xf numFmtId="165" fontId="0" fillId="0" borderId="6" xfId="0" applyNumberFormat="1" applyBorder="1"/>
    <xf numFmtId="0" fontId="0" fillId="0" borderId="7" xfId="0" applyBorder="1"/>
    <xf numFmtId="165" fontId="0" fillId="0" borderId="8" xfId="0" applyNumberFormat="1" applyBorder="1"/>
    <xf numFmtId="2" fontId="0" fillId="2" borderId="9" xfId="0" applyNumberFormat="1" applyFill="1" applyBorder="1"/>
    <xf numFmtId="2" fontId="0" fillId="2" borderId="9" xfId="0" applyNumberFormat="1" applyFill="1" applyBorder="1" applyAlignment="1">
      <alignment horizontal="right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0" fillId="0" borderId="0" xfId="0" applyAlignment="1">
      <alignment horizontal="center"/>
    </xf>
    <xf numFmtId="0" fontId="0" fillId="0" borderId="0" xfId="0" applyFill="1" applyBorder="1"/>
    <xf numFmtId="1" fontId="0" fillId="0" borderId="0" xfId="0" applyNumberFormat="1" applyFill="1" applyBorder="1"/>
    <xf numFmtId="165" fontId="0" fillId="0" borderId="0" xfId="0" applyNumberFormat="1" applyFill="1" applyBorder="1"/>
    <xf numFmtId="2" fontId="0" fillId="0" borderId="0" xfId="0" applyNumberFormat="1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285486</xdr:colOff>
      <xdr:row>16</xdr:row>
      <xdr:rowOff>18664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114286" cy="30857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152400</xdr:colOff>
      <xdr:row>1</xdr:row>
      <xdr:rowOff>95250</xdr:rowOff>
    </xdr:from>
    <xdr:ext cx="914400" cy="4238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/>
            <xdr:cNvSpPr txBox="1"/>
          </xdr:nvSpPr>
          <xdr:spPr>
            <a:xfrm>
              <a:off x="3209925" y="295275"/>
              <a:ext cx="914400" cy="423834"/>
            </a:xfrm>
            <a:prstGeom prst="rect">
              <a:avLst/>
            </a:prstGeom>
          </xdr:spPr>
          <xdr:style>
            <a:lnRef idx="2">
              <a:schemeClr val="accent2"/>
            </a:lnRef>
            <a:fillRef idx="1">
              <a:schemeClr val="lt1"/>
            </a:fillRef>
            <a:effectRef idx="0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/>
                      </a:rPr>
                      <m:t>𝑛</m:t>
                    </m:r>
                    <m:r>
                      <a:rPr lang="en-US" sz="1100" b="0" i="1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/>
                          </a:rPr>
                        </m:ctrlPr>
                      </m:fPr>
                      <m:num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60∗</m:t>
                        </m:r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𝑄</m:t>
                        </m:r>
                        <m:r>
                          <m:rPr>
                            <m:nor/>
                          </m:rPr>
                          <a:rPr lang="en-US">
                            <a:effectLst/>
                          </a:rPr>
                          <m:t> </m:t>
                        </m:r>
                      </m:num>
                      <m:den>
                        <m:r>
                          <a:rPr lang="en-US" sz="1100" b="0" i="1">
                            <a:latin typeface="Cambria Math"/>
                          </a:rPr>
                          <m:t>𝑉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3209925" y="295275"/>
              <a:ext cx="914400" cy="423834"/>
            </a:xfrm>
            <a:prstGeom prst="rect">
              <a:avLst/>
            </a:prstGeom>
          </xdr:spPr>
          <xdr:style>
            <a:lnRef idx="2">
              <a:schemeClr val="accent2"/>
            </a:lnRef>
            <a:fillRef idx="1">
              <a:schemeClr val="lt1"/>
            </a:fillRef>
            <a:effectRef idx="0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t">
              <a:spAutoFit/>
            </a:bodyPr>
            <a:lstStyle/>
            <a:p>
              <a:r>
                <a:rPr lang="en-US" sz="1100" b="0" i="0">
                  <a:latin typeface="Cambria Math"/>
                </a:rPr>
                <a:t>𝑛=(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60∗𝑄"</a:t>
              </a:r>
              <a:r>
                <a:rPr lang="en-US" i="0">
                  <a:effectLst/>
                </a:rPr>
                <a:t> </a:t>
              </a:r>
              <a:r>
                <a:rPr lang="en-US" sz="1100" b="0" i="0">
                  <a:effectLst/>
                  <a:latin typeface="Cambria Math"/>
                </a:rPr>
                <a:t>" )/</a:t>
              </a:r>
              <a:r>
                <a:rPr lang="en-US" sz="1100" b="0" i="0">
                  <a:latin typeface="Cambria Math"/>
                </a:rPr>
                <a:t>𝑉</a:t>
              </a:r>
              <a:endParaRPr lang="en-US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67"/>
  <sheetViews>
    <sheetView tabSelected="1" zoomScaleNormal="100" workbookViewId="0">
      <selection activeCell="G10" sqref="G10"/>
    </sheetView>
  </sheetViews>
  <sheetFormatPr defaultRowHeight="15" x14ac:dyDescent="0.25"/>
  <cols>
    <col min="1" max="1" width="6.5703125" bestFit="1" customWidth="1"/>
    <col min="2" max="2" width="17.85546875" bestFit="1" customWidth="1"/>
    <col min="3" max="4" width="8.28515625" bestFit="1" customWidth="1"/>
    <col min="5" max="5" width="7.28515625" bestFit="1" customWidth="1"/>
    <col min="6" max="6" width="10.7109375" bestFit="1" customWidth="1"/>
    <col min="7" max="7" width="11.7109375" bestFit="1" customWidth="1"/>
    <col min="8" max="8" width="12.5703125" bestFit="1" customWidth="1"/>
    <col min="9" max="9" width="10.85546875" bestFit="1" customWidth="1"/>
    <col min="10" max="10" width="7.28515625" bestFit="1" customWidth="1"/>
    <col min="11" max="11" width="6.5703125" bestFit="1" customWidth="1"/>
    <col min="12" max="12" width="11.7109375" bestFit="1" customWidth="1"/>
    <col min="13" max="14" width="8.28515625" bestFit="1" customWidth="1"/>
    <col min="15" max="15" width="7.28515625" bestFit="1" customWidth="1"/>
    <col min="16" max="16" width="4.140625" bestFit="1" customWidth="1"/>
    <col min="17" max="17" width="11.7109375" bestFit="1" customWidth="1"/>
    <col min="18" max="19" width="8.28515625" bestFit="1" customWidth="1"/>
    <col min="20" max="20" width="7.28515625" bestFit="1" customWidth="1"/>
    <col min="21" max="21" width="7.5703125" bestFit="1" customWidth="1"/>
    <col min="22" max="22" width="8" bestFit="1" customWidth="1"/>
    <col min="23" max="23" width="6.7109375" bestFit="1" customWidth="1"/>
    <col min="27" max="27" width="6.85546875" bestFit="1" customWidth="1"/>
    <col min="28" max="28" width="3.42578125" bestFit="1" customWidth="1"/>
    <col min="29" max="29" width="4.7109375" bestFit="1" customWidth="1"/>
    <col min="30" max="30" width="5" bestFit="1" customWidth="1"/>
    <col min="31" max="31" width="6.85546875" bestFit="1" customWidth="1"/>
  </cols>
  <sheetData>
    <row r="1" spans="2:30" x14ac:dyDescent="0.25">
      <c r="G1" s="39" t="s">
        <v>35</v>
      </c>
      <c r="H1" s="39"/>
      <c r="V1" t="s">
        <v>3</v>
      </c>
      <c r="W1">
        <f>C2/C3</f>
        <v>657.89473684210532</v>
      </c>
      <c r="AD1">
        <v>3500</v>
      </c>
    </row>
    <row r="2" spans="2:30" x14ac:dyDescent="0.25">
      <c r="B2" t="s">
        <v>0</v>
      </c>
      <c r="C2" s="3">
        <v>25000</v>
      </c>
      <c r="D2" s="3"/>
      <c r="E2" s="3"/>
      <c r="F2" s="1" t="s">
        <v>38</v>
      </c>
      <c r="G2" s="1">
        <v>10.53</v>
      </c>
      <c r="H2" s="1">
        <v>13502.07</v>
      </c>
      <c r="I2" s="1" t="s">
        <v>39</v>
      </c>
      <c r="J2" s="1"/>
      <c r="K2" s="1"/>
      <c r="L2" s="1"/>
      <c r="M2" s="1"/>
      <c r="N2" s="1"/>
      <c r="O2" s="1"/>
      <c r="P2" s="1"/>
      <c r="Q2" s="1">
        <v>1156</v>
      </c>
      <c r="R2">
        <f>(((R4^2)/4)*PI())</f>
        <v>1156.0001844207516</v>
      </c>
      <c r="V2" t="s">
        <v>4</v>
      </c>
      <c r="W2">
        <f>$C$2/$C$3*2</f>
        <v>1315.7894736842106</v>
      </c>
      <c r="AD2">
        <v>1500</v>
      </c>
    </row>
    <row r="3" spans="2:30" x14ac:dyDescent="0.25">
      <c r="B3" t="s">
        <v>1</v>
      </c>
      <c r="C3" s="3">
        <v>38</v>
      </c>
      <c r="D3" s="3"/>
      <c r="E3" s="3"/>
      <c r="F3" s="1" t="s">
        <v>36</v>
      </c>
      <c r="G3" s="1">
        <v>26386.28</v>
      </c>
      <c r="H3" s="1">
        <f>G3*H2/G2</f>
        <v>33833751.149059825</v>
      </c>
      <c r="I3" s="1" t="s">
        <v>37</v>
      </c>
      <c r="J3" s="1"/>
      <c r="K3" s="1"/>
      <c r="L3" s="1">
        <v>300</v>
      </c>
      <c r="M3" s="1">
        <f>L3*0.04</f>
        <v>12</v>
      </c>
      <c r="N3" s="1"/>
      <c r="O3" s="1"/>
      <c r="P3" s="1"/>
      <c r="Q3" s="1"/>
      <c r="V3" t="s">
        <v>5</v>
      </c>
      <c r="W3">
        <f>$C$2/$C$3*3</f>
        <v>1973.6842105263158</v>
      </c>
      <c r="AD3">
        <f>AD2+AD1</f>
        <v>5000</v>
      </c>
    </row>
    <row r="4" spans="2:30" x14ac:dyDescent="0.25">
      <c r="B4" t="s">
        <v>22</v>
      </c>
      <c r="C4" s="3">
        <v>2800</v>
      </c>
      <c r="D4" s="3"/>
      <c r="E4" s="3"/>
      <c r="F4" s="1"/>
      <c r="G4" s="1">
        <f>G3/G2</f>
        <v>2505.8195631528965</v>
      </c>
      <c r="H4" s="1"/>
      <c r="I4" s="1"/>
      <c r="J4" s="1"/>
      <c r="K4" s="1"/>
      <c r="L4" s="1"/>
      <c r="M4" s="1"/>
      <c r="N4" s="1"/>
      <c r="O4" s="1"/>
      <c r="P4" s="1"/>
      <c r="Q4" s="1"/>
      <c r="R4">
        <v>38.364894741490453</v>
      </c>
      <c r="V4" t="s">
        <v>6</v>
      </c>
      <c r="W4">
        <f>$C$2/$C$3*4</f>
        <v>2631.5789473684213</v>
      </c>
    </row>
    <row r="5" spans="2:30" x14ac:dyDescent="0.25">
      <c r="B5" t="s">
        <v>21</v>
      </c>
      <c r="C5" s="3">
        <v>3200</v>
      </c>
      <c r="D5" s="3"/>
      <c r="E5" s="3"/>
      <c r="F5" s="1"/>
      <c r="G5" s="1"/>
      <c r="H5" s="1" t="s">
        <v>34</v>
      </c>
      <c r="I5" s="1"/>
      <c r="J5" s="1"/>
      <c r="K5" s="1"/>
      <c r="L5" s="1"/>
      <c r="M5" s="1"/>
      <c r="N5" s="1"/>
      <c r="O5" s="1"/>
      <c r="P5" s="1"/>
      <c r="Q5" s="1"/>
      <c r="V5" t="s">
        <v>7</v>
      </c>
      <c r="W5">
        <f>$C$2/$C$3*5</f>
        <v>3289.4736842105267</v>
      </c>
    </row>
    <row r="6" spans="2:30" ht="15.75" thickBot="1" x14ac:dyDescent="0.3">
      <c r="C6" s="3"/>
      <c r="D6" s="3"/>
      <c r="E6" s="3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V6" t="s">
        <v>8</v>
      </c>
      <c r="W6">
        <f>$C$2/$C$3*6</f>
        <v>3947.3684210526317</v>
      </c>
    </row>
    <row r="7" spans="2:30" x14ac:dyDescent="0.25">
      <c r="B7" s="6" t="s">
        <v>3</v>
      </c>
      <c r="C7" s="7">
        <f>W1</f>
        <v>657.89473684210532</v>
      </c>
      <c r="D7" s="7"/>
      <c r="E7" s="8"/>
      <c r="F7" s="1"/>
      <c r="G7" s="6" t="s">
        <v>4</v>
      </c>
      <c r="H7" s="7">
        <f>W2</f>
        <v>1315.7894736842106</v>
      </c>
      <c r="I7" s="7"/>
      <c r="J7" s="8"/>
      <c r="L7" s="6" t="s">
        <v>5</v>
      </c>
      <c r="M7" s="7">
        <f>W3</f>
        <v>1973.6842105263158</v>
      </c>
      <c r="N7" s="7"/>
      <c r="O7" s="8"/>
      <c r="P7" s="3"/>
      <c r="Q7" s="6" t="s">
        <v>6</v>
      </c>
      <c r="R7" s="7">
        <f>W4</f>
        <v>2631.5789473684213</v>
      </c>
      <c r="S7" s="7"/>
      <c r="T7" s="8"/>
      <c r="U7" s="3"/>
      <c r="V7" t="s">
        <v>9</v>
      </c>
      <c r="W7">
        <f>$C$2/$C$3*7</f>
        <v>4605.2631578947376</v>
      </c>
    </row>
    <row r="8" spans="2:30" x14ac:dyDescent="0.25">
      <c r="B8" s="9" t="s">
        <v>2</v>
      </c>
      <c r="C8" s="4">
        <f>$C$4</f>
        <v>2800</v>
      </c>
      <c r="D8" s="4">
        <f>$C$5</f>
        <v>3200</v>
      </c>
      <c r="E8" s="10">
        <f>C7/E9</f>
        <v>3350.6303808820076</v>
      </c>
      <c r="F8" s="1"/>
      <c r="G8" s="9" t="s">
        <v>2</v>
      </c>
      <c r="H8" s="4">
        <f>$C$4</f>
        <v>2800</v>
      </c>
      <c r="I8" s="4">
        <f>$C$5</f>
        <v>3200</v>
      </c>
      <c r="J8" s="10">
        <f>H7/J9</f>
        <v>3769.4591784922586</v>
      </c>
      <c r="K8" s="1"/>
      <c r="L8" s="9" t="s">
        <v>2</v>
      </c>
      <c r="M8" s="4">
        <f>$C$4</f>
        <v>2800</v>
      </c>
      <c r="N8" s="4">
        <f>$C$5</f>
        <v>3200</v>
      </c>
      <c r="O8" s="10">
        <f>M7/O9</f>
        <v>3618.6808113525676</v>
      </c>
      <c r="P8" s="3"/>
      <c r="Q8" s="9" t="s">
        <v>2</v>
      </c>
      <c r="R8" s="4">
        <f>$C$4</f>
        <v>2800</v>
      </c>
      <c r="S8" s="4">
        <f>$C$5</f>
        <v>3200</v>
      </c>
      <c r="T8" s="10">
        <f>R7/T9</f>
        <v>3350.6303808820076</v>
      </c>
      <c r="V8" t="s">
        <v>10</v>
      </c>
      <c r="W8">
        <f>$C$2/$C$3*8</f>
        <v>5263.1578947368425</v>
      </c>
    </row>
    <row r="9" spans="2:30" x14ac:dyDescent="0.25">
      <c r="B9" s="9"/>
      <c r="C9" s="5">
        <f>C7/C8</f>
        <v>0.23496240601503762</v>
      </c>
      <c r="D9" s="5">
        <f>C7/D8</f>
        <v>0.20559210526315791</v>
      </c>
      <c r="E9" s="11">
        <f>(((E10/12)^2)/4)*PI()</f>
        <v>0.19634954084936207</v>
      </c>
      <c r="F9" s="2"/>
      <c r="G9" s="9"/>
      <c r="H9" s="5">
        <f>H7/H8</f>
        <v>0.46992481203007525</v>
      </c>
      <c r="I9" s="5">
        <f>H7/I8</f>
        <v>0.41118421052631582</v>
      </c>
      <c r="J9" s="11">
        <f>(((J10/12)^2)/4)*PI()</f>
        <v>0.3490658503988659</v>
      </c>
      <c r="K9" s="2"/>
      <c r="L9" s="9"/>
      <c r="M9" s="5">
        <f>M7/M8</f>
        <v>0.70488721804511278</v>
      </c>
      <c r="N9" s="5">
        <f>M7/N8</f>
        <v>0.61677631578947367</v>
      </c>
      <c r="O9" s="11">
        <f>(((O10/12)^2)/4)*PI()</f>
        <v>0.54541539124822802</v>
      </c>
      <c r="P9" s="2"/>
      <c r="Q9" s="9"/>
      <c r="R9" s="5">
        <f>R7/R8</f>
        <v>0.93984962406015049</v>
      </c>
      <c r="S9" s="5">
        <f>R7/S8</f>
        <v>0.82236842105263164</v>
      </c>
      <c r="T9" s="11">
        <f>(((T10/12)^2)/4)*PI()</f>
        <v>0.78539816339744828</v>
      </c>
      <c r="V9" t="s">
        <v>11</v>
      </c>
      <c r="W9">
        <f>$C$2/$C$3*9</f>
        <v>5921.0526315789475</v>
      </c>
    </row>
    <row r="10" spans="2:30" ht="15.75" thickBot="1" x14ac:dyDescent="0.3">
      <c r="B10" s="12"/>
      <c r="C10" s="13">
        <f>SQRT(4*C9/(PI()))*12</f>
        <v>6.5635000928226503</v>
      </c>
      <c r="D10" s="13">
        <f>SQRT(4*D9/(PI()))*12</f>
        <v>6.13959215135033</v>
      </c>
      <c r="E10" s="15">
        <v>6</v>
      </c>
      <c r="F10" s="2"/>
      <c r="G10" s="12"/>
      <c r="H10" s="13">
        <f>SQRT(4*H9/(PI()))*12</f>
        <v>9.2821908479068611</v>
      </c>
      <c r="I10" s="13">
        <f>SQRT(4*I9/(PI()))*12</f>
        <v>8.6826944878790453</v>
      </c>
      <c r="J10" s="15">
        <v>8</v>
      </c>
      <c r="K10" s="2"/>
      <c r="L10" s="12"/>
      <c r="M10" s="13">
        <f>SQRT(4*M9/(PI()))*12</f>
        <v>11.368315636251875</v>
      </c>
      <c r="N10" s="13">
        <f>SQRT(4*N9/(PI()))*12</f>
        <v>10.634085543889881</v>
      </c>
      <c r="O10" s="15">
        <v>10</v>
      </c>
      <c r="P10" s="2"/>
      <c r="Q10" s="12"/>
      <c r="R10" s="13">
        <f>SQRT(4*R9/(PI()))*12</f>
        <v>13.127000185645301</v>
      </c>
      <c r="S10" s="13">
        <f>SQRT(4*S9/(PI()))*12</f>
        <v>12.27918430270066</v>
      </c>
      <c r="T10" s="15">
        <v>12</v>
      </c>
      <c r="V10" t="s">
        <v>12</v>
      </c>
      <c r="W10">
        <f>$C$2/$C$3*10</f>
        <v>6578.9473684210534</v>
      </c>
    </row>
    <row r="11" spans="2:30" ht="15.75" thickBot="1" x14ac:dyDescent="0.3">
      <c r="V11" t="s">
        <v>13</v>
      </c>
      <c r="W11">
        <f>$C$2/$C$3*11</f>
        <v>7236.8421052631584</v>
      </c>
    </row>
    <row r="12" spans="2:30" x14ac:dyDescent="0.25">
      <c r="B12" s="6" t="s">
        <v>7</v>
      </c>
      <c r="C12" s="7">
        <f>W5</f>
        <v>3289.4736842105267</v>
      </c>
      <c r="D12" s="7"/>
      <c r="E12" s="8"/>
      <c r="F12" s="1"/>
      <c r="G12" s="6" t="s">
        <v>8</v>
      </c>
      <c r="H12" s="7">
        <f>W6</f>
        <v>3947.3684210526317</v>
      </c>
      <c r="I12" s="7"/>
      <c r="J12" s="8"/>
      <c r="L12" s="6" t="s">
        <v>9</v>
      </c>
      <c r="M12" s="7">
        <f>W7</f>
        <v>4605.2631578947376</v>
      </c>
      <c r="N12" s="7"/>
      <c r="O12" s="8"/>
      <c r="P12" s="3"/>
      <c r="Q12" s="6" t="s">
        <v>10</v>
      </c>
      <c r="R12" s="7">
        <f>W8</f>
        <v>5263.1578947368425</v>
      </c>
      <c r="S12" s="7"/>
      <c r="T12" s="8"/>
      <c r="V12" t="s">
        <v>14</v>
      </c>
      <c r="W12">
        <f>$C$2/$C$3*12</f>
        <v>7894.7368421052633</v>
      </c>
    </row>
    <row r="13" spans="2:30" x14ac:dyDescent="0.25">
      <c r="B13" s="9" t="s">
        <v>2</v>
      </c>
      <c r="C13" s="4">
        <f>$C$4</f>
        <v>2800</v>
      </c>
      <c r="D13" s="4">
        <f>$C$5</f>
        <v>3200</v>
      </c>
      <c r="E13" s="10">
        <f>C12/E14</f>
        <v>3077.1095334630677</v>
      </c>
      <c r="F13" s="1"/>
      <c r="G13" s="9" t="s">
        <v>2</v>
      </c>
      <c r="H13" s="4">
        <f>$C$4</f>
        <v>2800</v>
      </c>
      <c r="I13" s="4">
        <f>$C$5</f>
        <v>3200</v>
      </c>
      <c r="J13" s="10">
        <f>H12/J14</f>
        <v>2827.0943838691937</v>
      </c>
      <c r="K13" s="1"/>
      <c r="L13" s="9" t="s">
        <v>2</v>
      </c>
      <c r="M13" s="4">
        <f>$C$4</f>
        <v>2800</v>
      </c>
      <c r="N13" s="4">
        <f>$C$5</f>
        <v>3200</v>
      </c>
      <c r="O13" s="10">
        <f>M12/O14</f>
        <v>3298.2767811807266</v>
      </c>
      <c r="P13" s="3"/>
      <c r="Q13" s="9" t="s">
        <v>2</v>
      </c>
      <c r="R13" s="4">
        <f>$C$4</f>
        <v>2800</v>
      </c>
      <c r="S13" s="4">
        <f>$C$5</f>
        <v>3200</v>
      </c>
      <c r="T13" s="10">
        <f>R12/T14</f>
        <v>2978.338116339562</v>
      </c>
      <c r="V13" t="s">
        <v>15</v>
      </c>
      <c r="W13">
        <f>$C$2/$C$3*13</f>
        <v>8552.6315789473683</v>
      </c>
    </row>
    <row r="14" spans="2:30" x14ac:dyDescent="0.25">
      <c r="B14" s="9"/>
      <c r="C14" s="5">
        <f>C12/C13</f>
        <v>1.1748120300751881</v>
      </c>
      <c r="D14" s="5">
        <f>C12/D13</f>
        <v>1.0279605263157896</v>
      </c>
      <c r="E14" s="11">
        <f>(((E15/12)^2)/4)*PI()</f>
        <v>1.0690141668465269</v>
      </c>
      <c r="F14" s="2"/>
      <c r="G14" s="9"/>
      <c r="H14" s="5">
        <f>H12/H13</f>
        <v>1.4097744360902256</v>
      </c>
      <c r="I14" s="5">
        <f>H12/I13</f>
        <v>1.2335526315789473</v>
      </c>
      <c r="J14" s="11">
        <f>(((J15/12)^2)/4)*PI()</f>
        <v>1.3962634015954636</v>
      </c>
      <c r="K14" s="2"/>
      <c r="L14" s="9"/>
      <c r="M14" s="5">
        <f>M12/M13</f>
        <v>1.6447368421052635</v>
      </c>
      <c r="N14" s="5">
        <f>M12/N13</f>
        <v>1.4391447368421055</v>
      </c>
      <c r="O14" s="11">
        <f>(((O15/12)^2)/4)*PI()</f>
        <v>1.3962634015954636</v>
      </c>
      <c r="P14" s="2"/>
      <c r="Q14" s="9"/>
      <c r="R14" s="5">
        <f>R12/R13</f>
        <v>1.879699248120301</v>
      </c>
      <c r="S14" s="5">
        <f>R12/S13</f>
        <v>1.6447368421052633</v>
      </c>
      <c r="T14" s="11">
        <f>(((T15/12)^2)/4)*PI()</f>
        <v>1.7671458676442586</v>
      </c>
      <c r="V14" t="s">
        <v>16</v>
      </c>
      <c r="W14">
        <f>$C$2/$C$3*14</f>
        <v>9210.5263157894751</v>
      </c>
    </row>
    <row r="15" spans="2:30" ht="15.75" thickBot="1" x14ac:dyDescent="0.3">
      <c r="B15" s="12"/>
      <c r="C15" s="13">
        <f>SQRT(4*C14/(PI()))*12</f>
        <v>14.676432377877628</v>
      </c>
      <c r="D15" s="13">
        <f>SQRT(4*D14/(PI()))*12</f>
        <v>13.728545404543517</v>
      </c>
      <c r="E15" s="15">
        <v>14</v>
      </c>
      <c r="F15" s="2"/>
      <c r="G15" s="12"/>
      <c r="H15" s="13">
        <f>SQRT(4*H14/(PI()))*12</f>
        <v>16.077226154125519</v>
      </c>
      <c r="I15" s="13">
        <f>SQRT(4*I14/(PI()))*12</f>
        <v>15.03886799960474</v>
      </c>
      <c r="J15" s="15">
        <v>16</v>
      </c>
      <c r="K15" s="2"/>
      <c r="L15" s="12"/>
      <c r="M15" s="13">
        <f>SQRT(4*M14/(PI()))*12</f>
        <v>17.365388975758094</v>
      </c>
      <c r="N15" s="13">
        <f>SQRT(4*N14/(PI()))*12</f>
        <v>16.243833983837007</v>
      </c>
      <c r="O15" s="14">
        <v>16</v>
      </c>
      <c r="P15" s="2"/>
      <c r="Q15" s="12"/>
      <c r="R15" s="13">
        <f>SQRT(4*R14/(PI()))*12</f>
        <v>18.564381695813722</v>
      </c>
      <c r="S15" s="13">
        <f>SQRT(4*S14/(PI()))*12</f>
        <v>17.365388975758091</v>
      </c>
      <c r="T15" s="15">
        <v>18</v>
      </c>
      <c r="V15" t="s">
        <v>17</v>
      </c>
      <c r="W15">
        <f>$C$2/$C$3*15</f>
        <v>9868.4210526315801</v>
      </c>
    </row>
    <row r="16" spans="2:30" ht="15.75" thickBot="1" x14ac:dyDescent="0.3">
      <c r="V16" t="s">
        <v>18</v>
      </c>
      <c r="W16">
        <f>$C$2/$C$3*16</f>
        <v>10526.315789473685</v>
      </c>
    </row>
    <row r="17" spans="2:23" x14ac:dyDescent="0.25">
      <c r="B17" s="6" t="s">
        <v>11</v>
      </c>
      <c r="C17" s="7">
        <f>W9</f>
        <v>5921.0526315789475</v>
      </c>
      <c r="D17" s="7"/>
      <c r="E17" s="8"/>
      <c r="F17" s="1"/>
      <c r="G17" s="6" t="s">
        <v>12</v>
      </c>
      <c r="H17" s="7">
        <f>W10</f>
        <v>6578.9473684210534</v>
      </c>
      <c r="I17" s="7"/>
      <c r="J17" s="8"/>
      <c r="L17" s="6" t="s">
        <v>13</v>
      </c>
      <c r="M17" s="7">
        <f>W11</f>
        <v>7236.8421052631584</v>
      </c>
      <c r="N17" s="7"/>
      <c r="O17" s="8"/>
      <c r="P17" s="3"/>
      <c r="Q17" s="6" t="s">
        <v>14</v>
      </c>
      <c r="R17" s="7">
        <f>W12</f>
        <v>7894.7368421052633</v>
      </c>
      <c r="S17" s="7"/>
      <c r="T17" s="8"/>
      <c r="V17" t="s">
        <v>19</v>
      </c>
      <c r="W17">
        <f>$C$2/$C$3*17</f>
        <v>11184.21052631579</v>
      </c>
    </row>
    <row r="18" spans="2:23" x14ac:dyDescent="0.25">
      <c r="B18" s="9" t="s">
        <v>2</v>
      </c>
      <c r="C18" s="4">
        <f>$C$4</f>
        <v>2800</v>
      </c>
      <c r="D18" s="4">
        <f>$C$5</f>
        <v>3200</v>
      </c>
      <c r="E18" s="10">
        <f>C17/E19</f>
        <v>3350.6303808820071</v>
      </c>
      <c r="F18" s="1"/>
      <c r="G18" s="9" t="s">
        <v>2</v>
      </c>
      <c r="H18" s="4">
        <f>$C$4</f>
        <v>2800</v>
      </c>
      <c r="I18" s="4">
        <f>$C$5</f>
        <v>3200</v>
      </c>
      <c r="J18" s="10">
        <f>H17/J19</f>
        <v>3015.5673427938063</v>
      </c>
      <c r="K18" s="1"/>
      <c r="L18" s="9" t="s">
        <v>2</v>
      </c>
      <c r="M18" s="4">
        <f>$C$4</f>
        <v>2800</v>
      </c>
      <c r="N18" s="4">
        <f>$C$5</f>
        <v>3200</v>
      </c>
      <c r="O18" s="10">
        <f>M17/O19</f>
        <v>3317.124077073187</v>
      </c>
      <c r="P18" s="3"/>
      <c r="Q18" s="9" t="s">
        <v>2</v>
      </c>
      <c r="R18" s="4">
        <f>$C$4</f>
        <v>2800</v>
      </c>
      <c r="S18" s="4">
        <f>$C$5</f>
        <v>3200</v>
      </c>
      <c r="T18" s="10">
        <f>R17/T19</f>
        <v>2990.6452986384861</v>
      </c>
      <c r="V18" t="s">
        <v>20</v>
      </c>
      <c r="W18">
        <f>$C$2/$C$3*18</f>
        <v>11842.105263157895</v>
      </c>
    </row>
    <row r="19" spans="2:23" x14ac:dyDescent="0.25">
      <c r="B19" s="9"/>
      <c r="C19" s="5">
        <f>C17/C18</f>
        <v>2.1146616541353382</v>
      </c>
      <c r="D19" s="5">
        <f>C17/D18</f>
        <v>1.850328947368421</v>
      </c>
      <c r="E19" s="11">
        <f>(((E20/12)^2)/4)*PI()</f>
        <v>1.7671458676442586</v>
      </c>
      <c r="F19" s="2"/>
      <c r="G19" s="9"/>
      <c r="H19" s="5">
        <f>H17/H18</f>
        <v>2.3496240601503762</v>
      </c>
      <c r="I19" s="5">
        <f>H17/I18</f>
        <v>2.0559210526315792</v>
      </c>
      <c r="J19" s="11">
        <f>(((J20/12)^2)/4)*PI()</f>
        <v>2.1816615649929121</v>
      </c>
      <c r="K19" s="2"/>
      <c r="L19" s="9"/>
      <c r="M19" s="5">
        <f>M17/M18</f>
        <v>2.5845864661654137</v>
      </c>
      <c r="N19" s="5">
        <f>M17/N18</f>
        <v>2.2615131578947372</v>
      </c>
      <c r="O19" s="11">
        <f>(((O20/12)^2)/4)*PI()</f>
        <v>2.1816615649929121</v>
      </c>
      <c r="P19" s="2"/>
      <c r="Q19" s="9"/>
      <c r="R19" s="5">
        <f>R17/R18</f>
        <v>2.8195488721804511</v>
      </c>
      <c r="S19" s="5">
        <f>R17/S18</f>
        <v>2.4671052631578947</v>
      </c>
      <c r="T19" s="11">
        <f>(((T20/12)^2)/4)*PI()</f>
        <v>2.6398104936414231</v>
      </c>
      <c r="V19" t="s">
        <v>28</v>
      </c>
      <c r="W19">
        <f>$C$2/$C$3*19</f>
        <v>12500.000000000002</v>
      </c>
    </row>
    <row r="20" spans="2:23" ht="15.75" thickBot="1" x14ac:dyDescent="0.3">
      <c r="B20" s="12"/>
      <c r="C20" s="13">
        <f>SQRT(4*C19/(PI()))*12</f>
        <v>19.690500278467955</v>
      </c>
      <c r="D20" s="13">
        <f>SQRT(4*D19/(PI()))*12</f>
        <v>18.418776454050992</v>
      </c>
      <c r="E20" s="15">
        <v>18</v>
      </c>
      <c r="F20" s="2"/>
      <c r="G20" s="12"/>
      <c r="H20" s="13">
        <f>SQRT(4*H19/(PI()))*12</f>
        <v>20.755609716046155</v>
      </c>
      <c r="I20" s="13">
        <f>SQRT(4*I19/(PI()))*12</f>
        <v>19.415095102760269</v>
      </c>
      <c r="J20" s="15">
        <v>20</v>
      </c>
      <c r="K20" s="2"/>
      <c r="L20" s="12"/>
      <c r="M20" s="13">
        <f>SQRT(4*M19/(PI()))*12</f>
        <v>21.768667119355573</v>
      </c>
      <c r="N20" s="13">
        <f>SQRT(4*N19/(PI()))*12</f>
        <v>20.362723531839947</v>
      </c>
      <c r="O20" s="15">
        <v>20</v>
      </c>
      <c r="P20" s="2"/>
      <c r="Q20" s="12"/>
      <c r="R20" s="13">
        <f>SQRT(4*R19/(PI()))*12</f>
        <v>22.73663127250375</v>
      </c>
      <c r="S20" s="13">
        <f>SQRT(4*S19/(PI()))*12</f>
        <v>21.268171087779763</v>
      </c>
      <c r="T20" s="15">
        <v>22</v>
      </c>
      <c r="V20" t="s">
        <v>29</v>
      </c>
      <c r="W20">
        <f>$C$2/$C$3*20</f>
        <v>13157.894736842107</v>
      </c>
    </row>
    <row r="21" spans="2:23" ht="15.75" thickBot="1" x14ac:dyDescent="0.3">
      <c r="V21" t="s">
        <v>30</v>
      </c>
      <c r="W21">
        <f>$C$2/$C$3*21</f>
        <v>13815.789473684212</v>
      </c>
    </row>
    <row r="22" spans="2:23" x14ac:dyDescent="0.25">
      <c r="B22" s="6" t="s">
        <v>15</v>
      </c>
      <c r="C22" s="7">
        <f>W13</f>
        <v>8552.6315789473683</v>
      </c>
      <c r="D22" s="7"/>
      <c r="E22" s="8"/>
      <c r="F22" s="1"/>
      <c r="G22" s="6" t="s">
        <v>16</v>
      </c>
      <c r="H22" s="7">
        <f>W14</f>
        <v>9210.5263157894751</v>
      </c>
      <c r="I22" s="7"/>
      <c r="J22" s="8"/>
      <c r="L22" s="6" t="s">
        <v>17</v>
      </c>
      <c r="M22" s="7">
        <f>W15</f>
        <v>9868.4210526315801</v>
      </c>
      <c r="N22" s="7"/>
      <c r="O22" s="8"/>
      <c r="P22" s="3"/>
      <c r="Q22" s="6" t="s">
        <v>18</v>
      </c>
      <c r="R22" s="7">
        <f>W16</f>
        <v>10526.315789473685</v>
      </c>
      <c r="S22" s="7"/>
      <c r="T22" s="8"/>
      <c r="V22" t="s">
        <v>31</v>
      </c>
      <c r="W22">
        <f>$C$2/$C$3*22</f>
        <v>14473.684210526317</v>
      </c>
    </row>
    <row r="23" spans="2:23" x14ac:dyDescent="0.25">
      <c r="B23" s="9" t="s">
        <v>2</v>
      </c>
      <c r="C23" s="4">
        <f>$C$4</f>
        <v>2800</v>
      </c>
      <c r="D23" s="4">
        <f>$C$5</f>
        <v>3200</v>
      </c>
      <c r="E23" s="10">
        <f>C22/E24</f>
        <v>3239.8657401916935</v>
      </c>
      <c r="F23" s="1"/>
      <c r="G23" s="9" t="s">
        <v>2</v>
      </c>
      <c r="H23" s="4">
        <f>$C$4</f>
        <v>2800</v>
      </c>
      <c r="I23" s="4">
        <f>$C$5</f>
        <v>3200</v>
      </c>
      <c r="J23" s="10">
        <f>H22/J24</f>
        <v>2931.801583271757</v>
      </c>
      <c r="K23" s="1"/>
      <c r="L23" s="9" t="s">
        <v>2</v>
      </c>
      <c r="M23" s="4">
        <f>$C$4</f>
        <v>2800</v>
      </c>
      <c r="N23" s="4">
        <f>$C$5</f>
        <v>3200</v>
      </c>
      <c r="O23" s="10">
        <f>M22/O24</f>
        <v>3141.215982076882</v>
      </c>
      <c r="P23" s="3"/>
      <c r="Q23" s="9" t="s">
        <v>2</v>
      </c>
      <c r="R23" s="4">
        <f>$C$4</f>
        <v>2800</v>
      </c>
      <c r="S23" s="4">
        <f>$C$5</f>
        <v>3200</v>
      </c>
      <c r="T23" s="10">
        <f>R22/T24</f>
        <v>3350.6303808820076</v>
      </c>
      <c r="V23" t="s">
        <v>32</v>
      </c>
      <c r="W23">
        <f>$C$2/$C$3*23</f>
        <v>15131.578947368422</v>
      </c>
    </row>
    <row r="24" spans="2:23" x14ac:dyDescent="0.25">
      <c r="B24" s="9"/>
      <c r="C24" s="5">
        <f>C22/C23</f>
        <v>3.0545112781954886</v>
      </c>
      <c r="D24" s="5">
        <f>C22/D23</f>
        <v>2.6726973684210527</v>
      </c>
      <c r="E24" s="11">
        <f>(((E25/12)^2)/4)*PI()</f>
        <v>2.6398104936414231</v>
      </c>
      <c r="F24" s="2"/>
      <c r="G24" s="9"/>
      <c r="H24" s="5">
        <f>H22/H23</f>
        <v>3.289473684210527</v>
      </c>
      <c r="I24" s="5">
        <f>H22/I23</f>
        <v>2.8782894736842111</v>
      </c>
      <c r="J24" s="11">
        <f>(((J25/12)^2)/4)*PI()</f>
        <v>3.1415926535897931</v>
      </c>
      <c r="K24" s="2"/>
      <c r="L24" s="9"/>
      <c r="M24" s="5">
        <f>M22/M23</f>
        <v>3.5244360902255645</v>
      </c>
      <c r="N24" s="5">
        <f>M22/N23</f>
        <v>3.0838815789473686</v>
      </c>
      <c r="O24" s="11">
        <f>(((O25/12)^2)/4)*PI()</f>
        <v>3.1415926535897931</v>
      </c>
      <c r="P24" s="2"/>
      <c r="Q24" s="9"/>
      <c r="R24" s="5">
        <f>R22/R23</f>
        <v>3.759398496240602</v>
      </c>
      <c r="S24" s="5">
        <f>R22/S23</f>
        <v>3.2894736842105265</v>
      </c>
      <c r="T24" s="11">
        <f>(((T25/12)^2)/4)*PI()</f>
        <v>3.1415926535897931</v>
      </c>
      <c r="V24" t="s">
        <v>33</v>
      </c>
      <c r="W24">
        <f>$C$2/$C$3*24</f>
        <v>15789.473684210527</v>
      </c>
    </row>
    <row r="25" spans="2:23" ht="15.75" thickBot="1" x14ac:dyDescent="0.3">
      <c r="B25" s="12"/>
      <c r="C25" s="13">
        <f>SQRT(4*C24/(PI()))*12</f>
        <v>23.665036131184721</v>
      </c>
      <c r="D25" s="13">
        <f>SQRT(4*D24/(PI()))*12</f>
        <v>22.136614312129883</v>
      </c>
      <c r="E25" s="15">
        <v>22</v>
      </c>
      <c r="F25" s="2"/>
      <c r="G25" s="12"/>
      <c r="H25" s="13">
        <f>SQRT(4*H24/(PI()))*12</f>
        <v>24.558368605401327</v>
      </c>
      <c r="I25" s="13">
        <f>SQRT(4*I24/(PI()))*12</f>
        <v>22.97225032487928</v>
      </c>
      <c r="J25" s="15">
        <v>24</v>
      </c>
      <c r="K25" s="2"/>
      <c r="L25" s="12"/>
      <c r="M25" s="13">
        <f>SQRT(4*M24/(PI()))*12</f>
        <v>25.420326552332966</v>
      </c>
      <c r="N25" s="13">
        <f>SQRT(4*N24/(PI()))*12</f>
        <v>23.778538154685599</v>
      </c>
      <c r="O25" s="15">
        <v>24</v>
      </c>
      <c r="P25" s="2"/>
      <c r="Q25" s="12"/>
      <c r="R25" s="13">
        <f>SQRT(4*R24/(PI()))*12</f>
        <v>26.254000371290601</v>
      </c>
      <c r="S25" s="13">
        <f>SQRT(4*S24/(PI()))*12</f>
        <v>24.55836860540132</v>
      </c>
      <c r="T25" s="15">
        <v>24</v>
      </c>
      <c r="V25" t="s">
        <v>54</v>
      </c>
      <c r="W25">
        <f>$C$2/$C$3*25</f>
        <v>16447.368421052633</v>
      </c>
    </row>
    <row r="26" spans="2:23" ht="15.75" thickBot="1" x14ac:dyDescent="0.3">
      <c r="V26" t="s">
        <v>55</v>
      </c>
      <c r="W26">
        <f>$C$2/$C$3*26</f>
        <v>17105.263157894737</v>
      </c>
    </row>
    <row r="27" spans="2:23" x14ac:dyDescent="0.25">
      <c r="B27" s="6" t="s">
        <v>19</v>
      </c>
      <c r="C27" s="7">
        <f>W17</f>
        <v>11184.21052631579</v>
      </c>
      <c r="D27" s="7"/>
      <c r="E27" s="8"/>
      <c r="F27" s="1"/>
      <c r="G27" s="6" t="s">
        <v>20</v>
      </c>
      <c r="H27" s="7">
        <f>W18</f>
        <v>11842.105263157895</v>
      </c>
      <c r="I27" s="7"/>
      <c r="J27" s="8"/>
      <c r="L27" s="6" t="s">
        <v>28</v>
      </c>
      <c r="M27" s="7">
        <f>W19</f>
        <v>12500.000000000002</v>
      </c>
      <c r="N27" s="7"/>
      <c r="O27" s="8"/>
      <c r="Q27" s="6" t="s">
        <v>29</v>
      </c>
      <c r="R27" s="7">
        <f>W20</f>
        <v>13157.894736842107</v>
      </c>
      <c r="S27" s="7"/>
      <c r="T27" s="8"/>
      <c r="V27" t="s">
        <v>56</v>
      </c>
      <c r="W27">
        <f>$C$2/$C$3*27</f>
        <v>17763.157894736843</v>
      </c>
    </row>
    <row r="28" spans="2:23" x14ac:dyDescent="0.25">
      <c r="B28" s="9" t="s">
        <v>2</v>
      </c>
      <c r="C28" s="4">
        <f>$C$4</f>
        <v>2800</v>
      </c>
      <c r="D28" s="4">
        <f>$C$5</f>
        <v>3200</v>
      </c>
      <c r="E28" s="10">
        <f>C27/E29</f>
        <v>3033.4109365381491</v>
      </c>
      <c r="F28" s="1"/>
      <c r="G28" s="9" t="s">
        <v>2</v>
      </c>
      <c r="H28" s="4">
        <f>$C$4</f>
        <v>2800</v>
      </c>
      <c r="I28" s="4">
        <f>$C$5</f>
        <v>3200</v>
      </c>
      <c r="J28" s="10">
        <f>H27/J29</f>
        <v>3211.8468739815698</v>
      </c>
      <c r="L28" s="9" t="s">
        <v>2</v>
      </c>
      <c r="M28" s="4">
        <f>$C$4</f>
        <v>2800</v>
      </c>
      <c r="N28" s="4">
        <f>$C$5</f>
        <v>3200</v>
      </c>
      <c r="O28" s="10">
        <f>M27/O29</f>
        <v>3390.2828114249905</v>
      </c>
      <c r="Q28" s="9" t="s">
        <v>2</v>
      </c>
      <c r="R28" s="4">
        <f>$C$4</f>
        <v>2800</v>
      </c>
      <c r="S28" s="4">
        <f>$C$5</f>
        <v>3200</v>
      </c>
      <c r="T28" s="10">
        <f>R27/T29</f>
        <v>3077.1095334630677</v>
      </c>
      <c r="V28" t="s">
        <v>57</v>
      </c>
      <c r="W28">
        <f>$C$2/$C$3*28</f>
        <v>18421.05263157895</v>
      </c>
    </row>
    <row r="29" spans="2:23" x14ac:dyDescent="0.25">
      <c r="B29" s="9"/>
      <c r="C29" s="5">
        <f>C27/C28</f>
        <v>3.9943609022556394</v>
      </c>
      <c r="D29" s="5">
        <f>C27/D28</f>
        <v>3.4950657894736845</v>
      </c>
      <c r="E29" s="11">
        <f>(((E30/12)^2)/4)*PI()</f>
        <v>3.6870080448380205</v>
      </c>
      <c r="F29" s="2"/>
      <c r="G29" s="9"/>
      <c r="H29" s="5">
        <f>H27/H28</f>
        <v>4.2293233082706765</v>
      </c>
      <c r="I29" s="5">
        <f>H27/I28</f>
        <v>3.700657894736842</v>
      </c>
      <c r="J29" s="11">
        <f>(((J30/12)^2)/4)*PI()</f>
        <v>3.6870080448380205</v>
      </c>
      <c r="L29" s="9"/>
      <c r="M29" s="5">
        <f>M27/M28</f>
        <v>4.4642857142857153</v>
      </c>
      <c r="N29" s="5">
        <f>M27/N28</f>
        <v>3.9062500000000004</v>
      </c>
      <c r="O29" s="11">
        <f>(((O30/12)^2)/4)*PI()</f>
        <v>3.6870080448380205</v>
      </c>
      <c r="Q29" s="9"/>
      <c r="R29" s="5">
        <f>R27/R28</f>
        <v>4.6992481203007523</v>
      </c>
      <c r="S29" s="5">
        <f>R27/S28</f>
        <v>4.1118421052631584</v>
      </c>
      <c r="T29" s="11">
        <f>(((T30/12)^2)/4)*PI()</f>
        <v>4.2760566673861078</v>
      </c>
      <c r="V29" t="s">
        <v>58</v>
      </c>
      <c r="W29">
        <f>$C$2/$C$3*29</f>
        <v>19078.947368421053</v>
      </c>
    </row>
    <row r="30" spans="2:23" ht="15.75" thickBot="1" x14ac:dyDescent="0.3">
      <c r="B30" s="12"/>
      <c r="C30" s="13">
        <f>SQRT(4*C29/(PI()))*12</f>
        <v>27.062004156459111</v>
      </c>
      <c r="D30" s="13">
        <f>SQRT(4*D29/(PI()))*12</f>
        <v>25.314186938230584</v>
      </c>
      <c r="E30" s="15">
        <v>26</v>
      </c>
      <c r="F30" s="2"/>
      <c r="G30" s="12"/>
      <c r="H30" s="13">
        <f>SQRT(4*H29/(PI()))*12</f>
        <v>27.846572543720583</v>
      </c>
      <c r="I30" s="13">
        <f>SQRT(4*I29/(PI()))*12</f>
        <v>26.048083463637134</v>
      </c>
      <c r="J30" s="15">
        <v>26</v>
      </c>
      <c r="L30" s="12"/>
      <c r="M30" s="13">
        <f>SQRT(4*M29/(PI()))*12</f>
        <v>28.609633620533771</v>
      </c>
      <c r="N30" s="13">
        <f>SQRT(4*N29/(PI()))*12</f>
        <v>26.761861742291568</v>
      </c>
      <c r="O30" s="15">
        <v>26</v>
      </c>
      <c r="Q30" s="12"/>
      <c r="R30" s="13">
        <f>SQRT(4*R29/(PI()))*12</f>
        <v>29.352864755755256</v>
      </c>
      <c r="S30" s="13">
        <f>SQRT(4*S29/(PI()))*12</f>
        <v>27.457090809087035</v>
      </c>
      <c r="T30" s="15">
        <v>28</v>
      </c>
      <c r="V30" t="s">
        <v>59</v>
      </c>
      <c r="W30">
        <f>$C$2/$C$3*30</f>
        <v>19736.84210526316</v>
      </c>
    </row>
    <row r="31" spans="2:23" ht="15.75" thickBot="1" x14ac:dyDescent="0.3">
      <c r="V31" t="s">
        <v>60</v>
      </c>
      <c r="W31">
        <f>$C$2/$C$3*31</f>
        <v>20394.736842105263</v>
      </c>
    </row>
    <row r="32" spans="2:23" x14ac:dyDescent="0.25">
      <c r="B32" s="6" t="s">
        <v>30</v>
      </c>
      <c r="C32" s="7">
        <f>W21</f>
        <v>13815.789473684212</v>
      </c>
      <c r="D32" s="7"/>
      <c r="E32" s="8"/>
      <c r="F32" s="1"/>
      <c r="G32" s="6" t="s">
        <v>31</v>
      </c>
      <c r="H32" s="7">
        <f>W22</f>
        <v>14473.684210526317</v>
      </c>
      <c r="I32" s="7"/>
      <c r="J32" s="8"/>
      <c r="L32" s="6" t="s">
        <v>32</v>
      </c>
      <c r="M32" s="7">
        <f>W23</f>
        <v>15131.578947368422</v>
      </c>
      <c r="N32" s="7"/>
      <c r="O32" s="8"/>
      <c r="Q32" s="6" t="s">
        <v>33</v>
      </c>
      <c r="R32" s="7">
        <f>W24</f>
        <v>15789.473684210527</v>
      </c>
      <c r="S32" s="7"/>
      <c r="T32" s="8"/>
      <c r="V32" t="s">
        <v>61</v>
      </c>
      <c r="W32">
        <f>$C$2/$C$3*32</f>
        <v>21052.63157894737</v>
      </c>
    </row>
    <row r="33" spans="2:23" x14ac:dyDescent="0.25">
      <c r="B33" s="9" t="s">
        <v>2</v>
      </c>
      <c r="C33" s="4">
        <f>$C$4</f>
        <v>2800</v>
      </c>
      <c r="D33" s="4">
        <f>$C$5</f>
        <v>3200</v>
      </c>
      <c r="E33" s="10">
        <f>C32/E34</f>
        <v>3230.9650101362213</v>
      </c>
      <c r="F33" s="1"/>
      <c r="G33" s="9" t="s">
        <v>2</v>
      </c>
      <c r="H33" s="4">
        <f>$C$4</f>
        <v>2800</v>
      </c>
      <c r="I33" s="4">
        <f>$C$5</f>
        <v>3200</v>
      </c>
      <c r="J33" s="10">
        <f>H32/J34</f>
        <v>3384.8204868093744</v>
      </c>
      <c r="L33" s="9" t="s">
        <v>2</v>
      </c>
      <c r="M33" s="4">
        <f>$C$4</f>
        <v>2800</v>
      </c>
      <c r="N33" s="4">
        <f>$C$5</f>
        <v>3200</v>
      </c>
      <c r="O33" s="10">
        <f>M32/O34</f>
        <v>3082.5799504114466</v>
      </c>
      <c r="Q33" s="9" t="s">
        <v>2</v>
      </c>
      <c r="R33" s="4">
        <f>$C$4</f>
        <v>2800</v>
      </c>
      <c r="S33" s="4">
        <f>$C$5</f>
        <v>3200</v>
      </c>
      <c r="T33" s="10">
        <f>R32/T34</f>
        <v>3216.6051656467266</v>
      </c>
      <c r="V33" t="s">
        <v>62</v>
      </c>
      <c r="W33">
        <f>$C$2/$C$3*33</f>
        <v>21710.526315789477</v>
      </c>
    </row>
    <row r="34" spans="2:23" x14ac:dyDescent="0.25">
      <c r="B34" s="9"/>
      <c r="C34" s="5">
        <f>C32/C33</f>
        <v>4.9342105263157903</v>
      </c>
      <c r="D34" s="5">
        <f>C32/D33</f>
        <v>4.3174342105263159</v>
      </c>
      <c r="E34" s="11">
        <f>(((E35/12)^2)/4)*PI()</f>
        <v>4.2760566673861078</v>
      </c>
      <c r="F34" s="2"/>
      <c r="G34" s="9"/>
      <c r="H34" s="5">
        <f>H32/H33</f>
        <v>5.1691729323308273</v>
      </c>
      <c r="I34" s="5">
        <f>H32/I33</f>
        <v>4.5230263157894743</v>
      </c>
      <c r="J34" s="11">
        <f>(((J35/12)^2)/4)*PI()</f>
        <v>4.2760566673861078</v>
      </c>
      <c r="L34" s="9"/>
      <c r="M34" s="5">
        <f>M32/M33</f>
        <v>5.4041353383458652</v>
      </c>
      <c r="N34" s="5">
        <f>M32/N33</f>
        <v>4.7286184210526319</v>
      </c>
      <c r="O34" s="11">
        <f>(((O35/12)^2)/4)*PI()</f>
        <v>4.908738521234052</v>
      </c>
      <c r="Q34" s="9"/>
      <c r="R34" s="5">
        <f>R32/R33</f>
        <v>5.6390977443609023</v>
      </c>
      <c r="S34" s="5">
        <f>R32/S33</f>
        <v>4.9342105263157894</v>
      </c>
      <c r="T34" s="11">
        <f>(((T35/12)^2)/4)*PI()</f>
        <v>4.908738521234052</v>
      </c>
      <c r="V34" t="s">
        <v>63</v>
      </c>
      <c r="W34">
        <f>$C$2/$C$3*34</f>
        <v>22368.42105263158</v>
      </c>
    </row>
    <row r="35" spans="2:23" ht="15.75" thickBot="1" x14ac:dyDescent="0.3">
      <c r="B35" s="12"/>
      <c r="C35" s="13">
        <f>SQRT(4*C34/(PI()))*12</f>
        <v>30.077735999209487</v>
      </c>
      <c r="D35" s="13">
        <f>SQRT(4*D34/(PI()))*12</f>
        <v>28.135145769719664</v>
      </c>
      <c r="E35" s="15">
        <v>28</v>
      </c>
      <c r="F35" s="2"/>
      <c r="G35" s="12"/>
      <c r="H35" s="13">
        <f>SQRT(4*H34/(PI()))*12</f>
        <v>30.785544274977902</v>
      </c>
      <c r="I35" s="13">
        <f>SQRT(4*I34/(PI()))*12</f>
        <v>28.79723978558183</v>
      </c>
      <c r="J35" s="15">
        <v>28</v>
      </c>
      <c r="L35" s="12"/>
      <c r="M35" s="13">
        <f>SQRT(4*M34/(PI()))*12</f>
        <v>31.477440648424835</v>
      </c>
      <c r="N35" s="13">
        <f>SQRT(4*N34/(PI()))*12</f>
        <v>29.444449579729273</v>
      </c>
      <c r="O35" s="15">
        <v>30</v>
      </c>
      <c r="Q35" s="12"/>
      <c r="R35" s="13">
        <f>SQRT(4*R34/(PI()))*12</f>
        <v>32.154452308251038</v>
      </c>
      <c r="S35" s="13">
        <f>SQRT(4*S34/(PI()))*12</f>
        <v>30.07773599920948</v>
      </c>
      <c r="T35" s="15">
        <v>30</v>
      </c>
      <c r="V35" t="s">
        <v>64</v>
      </c>
      <c r="W35">
        <f>$C$2/$C$3*35</f>
        <v>23026.315789473687</v>
      </c>
    </row>
    <row r="36" spans="2:23" ht="15.75" thickBot="1" x14ac:dyDescent="0.3">
      <c r="V36" t="s">
        <v>65</v>
      </c>
      <c r="W36">
        <f>$C$2/$C$3*36</f>
        <v>23684.21052631579</v>
      </c>
    </row>
    <row r="37" spans="2:23" x14ac:dyDescent="0.25">
      <c r="B37" s="6" t="s">
        <v>54</v>
      </c>
      <c r="C37" s="7">
        <f>W25</f>
        <v>16447.368421052633</v>
      </c>
      <c r="D37" s="7"/>
      <c r="E37" s="8"/>
      <c r="F37" s="1"/>
      <c r="G37" s="6" t="s">
        <v>55</v>
      </c>
      <c r="H37" s="7">
        <f>W26</f>
        <v>17105.263157894737</v>
      </c>
      <c r="I37" s="7"/>
      <c r="J37" s="8"/>
      <c r="L37" s="6" t="s">
        <v>56</v>
      </c>
      <c r="M37" s="7">
        <f>W27</f>
        <v>17763.157894736843</v>
      </c>
      <c r="N37" s="7"/>
      <c r="O37" s="8"/>
      <c r="Q37" s="6" t="s">
        <v>57</v>
      </c>
      <c r="R37" s="7">
        <f>W28</f>
        <v>18421.05263157895</v>
      </c>
      <c r="S37" s="7"/>
      <c r="T37" s="8"/>
      <c r="V37" t="s">
        <v>66</v>
      </c>
      <c r="W37">
        <f>$C$2/$C$3*37</f>
        <v>24342.105263157897</v>
      </c>
    </row>
    <row r="38" spans="2:23" x14ac:dyDescent="0.25">
      <c r="B38" s="9" t="s">
        <v>2</v>
      </c>
      <c r="C38" s="4">
        <f>$C$4</f>
        <v>2800</v>
      </c>
      <c r="D38" s="4">
        <f>$C$5</f>
        <v>3200</v>
      </c>
      <c r="E38" s="10">
        <f>C37/E39</f>
        <v>3350.6303808820076</v>
      </c>
      <c r="F38" s="1"/>
      <c r="G38" s="9" t="s">
        <v>2</v>
      </c>
      <c r="H38" s="4">
        <f>$C$4</f>
        <v>2800</v>
      </c>
      <c r="I38" s="4">
        <f>$C$5</f>
        <v>3200</v>
      </c>
      <c r="J38" s="10">
        <f>H37/J39</f>
        <v>3062.6855825249595</v>
      </c>
      <c r="L38" s="9" t="s">
        <v>2</v>
      </c>
      <c r="M38" s="4">
        <f>$C$4</f>
        <v>2800</v>
      </c>
      <c r="N38" s="4">
        <f>$C$5</f>
        <v>3200</v>
      </c>
      <c r="O38" s="10">
        <f>M37/O39</f>
        <v>3180.4811818528433</v>
      </c>
      <c r="Q38" s="9" t="s">
        <v>2</v>
      </c>
      <c r="R38" s="4">
        <f>$C$4</f>
        <v>2800</v>
      </c>
      <c r="S38" s="4">
        <f>$C$5</f>
        <v>3200</v>
      </c>
      <c r="T38" s="10">
        <f>R37/T39</f>
        <v>3298.2767811807266</v>
      </c>
      <c r="V38" t="s">
        <v>67</v>
      </c>
      <c r="W38">
        <f>$C$2/$C$3*38</f>
        <v>25000.000000000004</v>
      </c>
    </row>
    <row r="39" spans="2:23" x14ac:dyDescent="0.25">
      <c r="B39" s="9"/>
      <c r="C39" s="5">
        <f>C37/C38</f>
        <v>5.8740601503759402</v>
      </c>
      <c r="D39" s="5">
        <f>C37/D38</f>
        <v>5.1398026315789478</v>
      </c>
      <c r="E39" s="11">
        <f>(((E40/12)^2)/4)*PI()</f>
        <v>4.908738521234052</v>
      </c>
      <c r="F39" s="2"/>
      <c r="G39" s="9"/>
      <c r="H39" s="5">
        <f>H37/H38</f>
        <v>6.1090225563909772</v>
      </c>
      <c r="I39" s="5">
        <f>H37/I38</f>
        <v>5.3453947368421053</v>
      </c>
      <c r="J39" s="11">
        <f>(((J40/12)^2)/4)*PI()</f>
        <v>5.5850536063818543</v>
      </c>
      <c r="L39" s="9"/>
      <c r="M39" s="5">
        <f>M37/M38</f>
        <v>6.3439849624060152</v>
      </c>
      <c r="N39" s="5">
        <f>M37/N38</f>
        <v>5.5509868421052637</v>
      </c>
      <c r="O39" s="11">
        <f>(((O40/12)^2)/4)*PI()</f>
        <v>5.5850536063818543</v>
      </c>
      <c r="Q39" s="9"/>
      <c r="R39" s="5">
        <f>R37/R38</f>
        <v>6.578947368421054</v>
      </c>
      <c r="S39" s="5">
        <f>R37/S38</f>
        <v>5.7565789473684221</v>
      </c>
      <c r="T39" s="11">
        <f>(((T40/12)^2)/4)*PI()</f>
        <v>5.5850536063818543</v>
      </c>
    </row>
    <row r="40" spans="2:23" ht="15.75" thickBot="1" x14ac:dyDescent="0.3">
      <c r="B40" s="12"/>
      <c r="C40" s="13">
        <f>SQRT(4*C39/(PI()))*12</f>
        <v>32.817500464113252</v>
      </c>
      <c r="D40" s="13">
        <f>SQRT(4*D39/(PI()))*12</f>
        <v>30.697960756751655</v>
      </c>
      <c r="E40" s="15">
        <v>30</v>
      </c>
      <c r="F40" s="2"/>
      <c r="G40" s="12"/>
      <c r="H40" s="13">
        <f>SQRT(4*H39/(PI()))*12</f>
        <v>33.467415050770754</v>
      </c>
      <c r="I40" s="13">
        <f>SQRT(4*I39/(PI()))*12</f>
        <v>31.305900185236446</v>
      </c>
      <c r="J40" s="15">
        <v>32</v>
      </c>
      <c r="L40" s="12"/>
      <c r="M40" s="13">
        <f>SQRT(4*M39/(PI()))*12</f>
        <v>34.104946908755622</v>
      </c>
      <c r="N40" s="13">
        <f>SQRT(4*N39/(PI()))*12</f>
        <v>31.902256631669644</v>
      </c>
      <c r="O40" s="15">
        <v>32</v>
      </c>
      <c r="Q40" s="12"/>
      <c r="R40" s="13">
        <f>SQRT(4*R39/(PI()))*12</f>
        <v>34.730777951516188</v>
      </c>
      <c r="S40" s="13">
        <f>SQRT(4*S39/(PI()))*12</f>
        <v>32.487667967674014</v>
      </c>
      <c r="T40" s="15">
        <v>32</v>
      </c>
    </row>
    <row r="41" spans="2:23" ht="15.75" thickBot="1" x14ac:dyDescent="0.3"/>
    <row r="42" spans="2:23" x14ac:dyDescent="0.25">
      <c r="B42" s="6" t="s">
        <v>58</v>
      </c>
      <c r="C42" s="7">
        <f>W29</f>
        <v>19078.947368421053</v>
      </c>
      <c r="D42" s="7"/>
      <c r="E42" s="8"/>
      <c r="F42" s="1"/>
      <c r="G42" s="6" t="s">
        <v>59</v>
      </c>
      <c r="H42" s="7">
        <f>W30</f>
        <v>19736.84210526316</v>
      </c>
      <c r="I42" s="7"/>
      <c r="J42" s="8"/>
      <c r="L42" s="6" t="s">
        <v>60</v>
      </c>
      <c r="M42" s="7">
        <f>W31</f>
        <v>20394.736842105263</v>
      </c>
      <c r="N42" s="7"/>
      <c r="O42" s="8"/>
      <c r="Q42" s="6" t="s">
        <v>61</v>
      </c>
      <c r="R42" s="7">
        <f>W32</f>
        <v>21052.63157894737</v>
      </c>
      <c r="S42" s="7"/>
      <c r="T42" s="8"/>
    </row>
    <row r="43" spans="2:23" x14ac:dyDescent="0.25">
      <c r="B43" s="9" t="s">
        <v>2</v>
      </c>
      <c r="C43" s="4">
        <f>$C$4</f>
        <v>2800</v>
      </c>
      <c r="D43" s="4">
        <f>$C$5</f>
        <v>3200</v>
      </c>
      <c r="E43" s="10">
        <f>C42/E44</f>
        <v>3416.0723805086091</v>
      </c>
      <c r="F43" s="1"/>
      <c r="G43" s="9" t="s">
        <v>2</v>
      </c>
      <c r="H43" s="4">
        <f>$C$4</f>
        <v>2800</v>
      </c>
      <c r="I43" s="4">
        <f>$C$5</f>
        <v>3200</v>
      </c>
      <c r="J43" s="10">
        <f>H42/J44</f>
        <v>3533.8679798364924</v>
      </c>
      <c r="L43" s="9" t="s">
        <v>2</v>
      </c>
      <c r="M43" s="4">
        <f>$C$4</f>
        <v>2800</v>
      </c>
      <c r="N43" s="4">
        <f>$C$5</f>
        <v>3200</v>
      </c>
      <c r="O43" s="10">
        <f>M42/O44</f>
        <v>3651.6635791643753</v>
      </c>
      <c r="Q43" s="9" t="s">
        <v>2</v>
      </c>
      <c r="R43" s="4">
        <f>$C$4</f>
        <v>2800</v>
      </c>
      <c r="S43" s="4">
        <f>$C$5</f>
        <v>3200</v>
      </c>
      <c r="T43" s="10">
        <f>R42/T44</f>
        <v>3769.4591784922586</v>
      </c>
    </row>
    <row r="44" spans="2:23" x14ac:dyDescent="0.25">
      <c r="B44" s="9"/>
      <c r="C44" s="5">
        <f>C42/C43</f>
        <v>6.8139097744360901</v>
      </c>
      <c r="D44" s="5">
        <f>C42/D43</f>
        <v>5.9621710526315788</v>
      </c>
      <c r="E44" s="11">
        <f>(((E45/12)^2)/4)*PI()</f>
        <v>5.5850536063818543</v>
      </c>
      <c r="F44" s="2"/>
      <c r="G44" s="9"/>
      <c r="H44" s="5">
        <f>H42/H43</f>
        <v>7.048872180451129</v>
      </c>
      <c r="I44" s="5">
        <f>H42/I43</f>
        <v>6.1677631578947372</v>
      </c>
      <c r="J44" s="11">
        <f>(((J45/12)^2)/4)*PI()</f>
        <v>5.5850536063818543</v>
      </c>
      <c r="L44" s="9"/>
      <c r="M44" s="5">
        <f>M42/M43</f>
        <v>7.2838345864661651</v>
      </c>
      <c r="N44" s="5">
        <f>M42/N43</f>
        <v>6.3733552631578947</v>
      </c>
      <c r="O44" s="11">
        <f>(((O45/12)^2)/4)*PI()</f>
        <v>5.5850536063818543</v>
      </c>
      <c r="Q44" s="9"/>
      <c r="R44" s="5">
        <f>R42/R43</f>
        <v>7.5187969924812039</v>
      </c>
      <c r="S44" s="5">
        <f>R42/S43</f>
        <v>6.5789473684210531</v>
      </c>
      <c r="T44" s="11">
        <f>(((T45/12)^2)/4)*PI()</f>
        <v>5.5850536063818543</v>
      </c>
    </row>
    <row r="45" spans="2:23" ht="15.75" thickBot="1" x14ac:dyDescent="0.3">
      <c r="B45" s="12"/>
      <c r="C45" s="13">
        <f>SQRT(4*C44/(PI()))*12</f>
        <v>35.345529711492595</v>
      </c>
      <c r="D45" s="13">
        <f>SQRT(4*D44/(PI()))*12</f>
        <v>33.062715583611016</v>
      </c>
      <c r="E45" s="15">
        <v>32</v>
      </c>
      <c r="F45" s="2"/>
      <c r="G45" s="12"/>
      <c r="H45" s="13">
        <f>SQRT(4*H44/(PI()))*12</f>
        <v>35.949770570262181</v>
      </c>
      <c r="I45" s="13">
        <f>SQRT(4*I44/(PI()))*12</f>
        <v>33.627931151762482</v>
      </c>
      <c r="J45" s="15">
        <v>32</v>
      </c>
      <c r="L45" s="12"/>
      <c r="M45" s="13">
        <f>SQRT(4*M44/(PI()))*12</f>
        <v>36.544021912249498</v>
      </c>
      <c r="N45" s="13">
        <f>SQRT(4*N44/(PI()))*12</f>
        <v>34.183802382599275</v>
      </c>
      <c r="O45" s="15">
        <v>32</v>
      </c>
      <c r="Q45" s="12"/>
      <c r="R45" s="13">
        <f>SQRT(4*R44/(PI()))*12</f>
        <v>37.128763391627444</v>
      </c>
      <c r="S45" s="13">
        <f>SQRT(4*S44/(PI()))*12</f>
        <v>34.730777951516181</v>
      </c>
      <c r="T45" s="15">
        <v>32</v>
      </c>
    </row>
    <row r="46" spans="2:23" ht="15.75" thickBot="1" x14ac:dyDescent="0.3"/>
    <row r="47" spans="2:23" x14ac:dyDescent="0.25">
      <c r="B47" s="6" t="s">
        <v>62</v>
      </c>
      <c r="C47" s="7">
        <f>W33</f>
        <v>21710.526315789477</v>
      </c>
      <c r="D47" s="7"/>
      <c r="E47" s="8"/>
      <c r="F47" s="1"/>
      <c r="G47" s="6" t="s">
        <v>63</v>
      </c>
      <c r="H47" s="7">
        <f>W34</f>
        <v>22368.42105263158</v>
      </c>
      <c r="I47" s="7"/>
      <c r="J47" s="8"/>
      <c r="L47" s="6" t="s">
        <v>64</v>
      </c>
      <c r="M47" s="7">
        <f>W35</f>
        <v>23026.315789473687</v>
      </c>
      <c r="N47" s="7"/>
      <c r="O47" s="8"/>
      <c r="Q47" s="6" t="s">
        <v>65</v>
      </c>
      <c r="R47" s="7">
        <f>W36</f>
        <v>23684.21052631579</v>
      </c>
      <c r="S47" s="7"/>
      <c r="T47" s="8"/>
    </row>
    <row r="48" spans="2:23" x14ac:dyDescent="0.25">
      <c r="B48" s="9" t="s">
        <v>2</v>
      </c>
      <c r="C48" s="4">
        <f>$C$4</f>
        <v>2800</v>
      </c>
      <c r="D48" s="4">
        <f>$C$5</f>
        <v>3200</v>
      </c>
      <c r="E48" s="10">
        <f>C47/E49</f>
        <v>3887.254777820142</v>
      </c>
      <c r="F48" s="1"/>
      <c r="G48" s="9" t="s">
        <v>2</v>
      </c>
      <c r="H48" s="4">
        <f>$C$4</f>
        <v>2800</v>
      </c>
      <c r="I48" s="4">
        <f>$C$5</f>
        <v>3200</v>
      </c>
      <c r="J48" s="10">
        <f>H47/J49</f>
        <v>4005.0503771480244</v>
      </c>
      <c r="L48" s="9" t="s">
        <v>2</v>
      </c>
      <c r="M48" s="4">
        <f>$C$4</f>
        <v>2800</v>
      </c>
      <c r="N48" s="4">
        <f>$C$5</f>
        <v>3200</v>
      </c>
      <c r="O48" s="10">
        <f>M47/O49</f>
        <v>4122.8459764759082</v>
      </c>
      <c r="Q48" s="9" t="s">
        <v>2</v>
      </c>
      <c r="R48" s="4">
        <f>$C$4</f>
        <v>2800</v>
      </c>
      <c r="S48" s="4">
        <f>$C$5</f>
        <v>3200</v>
      </c>
      <c r="T48" s="10">
        <f>R47/T49</f>
        <v>4240.6415758037901</v>
      </c>
    </row>
    <row r="49" spans="2:22" x14ac:dyDescent="0.25">
      <c r="B49" s="9"/>
      <c r="C49" s="5">
        <f>C47/C48</f>
        <v>7.7537593984962419</v>
      </c>
      <c r="D49" s="5">
        <f>C47/D48</f>
        <v>6.7845394736842115</v>
      </c>
      <c r="E49" s="11">
        <f>(((E50/12)^2)/4)*PI()</f>
        <v>5.5850536063818543</v>
      </c>
      <c r="F49" s="2"/>
      <c r="G49" s="9"/>
      <c r="H49" s="5">
        <f>H47/H48</f>
        <v>7.9887218045112789</v>
      </c>
      <c r="I49" s="5">
        <f>H47/I48</f>
        <v>6.990131578947369</v>
      </c>
      <c r="J49" s="11">
        <f>(((J50/12)^2)/4)*PI()</f>
        <v>5.5850536063818543</v>
      </c>
      <c r="L49" s="9"/>
      <c r="M49" s="5">
        <f>M47/M48</f>
        <v>8.2236842105263168</v>
      </c>
      <c r="N49" s="5">
        <f>M47/N48</f>
        <v>7.1957236842105274</v>
      </c>
      <c r="O49" s="11">
        <f>(((O50/12)^2)/4)*PI()</f>
        <v>5.5850536063818543</v>
      </c>
      <c r="Q49" s="9"/>
      <c r="R49" s="5">
        <f>R47/R48</f>
        <v>8.458646616541353</v>
      </c>
      <c r="S49" s="5">
        <f>R47/S48</f>
        <v>7.4013157894736841</v>
      </c>
      <c r="T49" s="11">
        <f>(((T50/12)^2)/4)*PI()</f>
        <v>5.5850536063818543</v>
      </c>
    </row>
    <row r="50" spans="2:22" ht="15.75" thickBot="1" x14ac:dyDescent="0.3">
      <c r="B50" s="12"/>
      <c r="C50" s="13">
        <f>SQRT(4*C49/(PI()))*12</f>
        <v>37.704437463777893</v>
      </c>
      <c r="D50" s="13">
        <f>SQRT(4*D49/(PI()))*12</f>
        <v>35.269271737625168</v>
      </c>
      <c r="E50" s="15">
        <v>32</v>
      </c>
      <c r="F50" s="2"/>
      <c r="G50" s="12"/>
      <c r="H50" s="13">
        <f>SQRT(4*H49/(PI()))*12</f>
        <v>38.271453303061548</v>
      </c>
      <c r="I50" s="13">
        <f>SQRT(4*I49/(PI()))*12</f>
        <v>35.799666488493543</v>
      </c>
      <c r="J50" s="15">
        <v>32</v>
      </c>
      <c r="L50" s="12"/>
      <c r="M50" s="13">
        <f>SQRT(4*M49/(PI()))*12</f>
        <v>38.830190205520537</v>
      </c>
      <c r="N50" s="13">
        <f>SQRT(4*N49/(PI()))*12</f>
        <v>36.322317003080769</v>
      </c>
      <c r="O50" s="15">
        <v>32</v>
      </c>
      <c r="Q50" s="12"/>
      <c r="R50" s="13">
        <f>SQRT(4*R49/(PI()))*12</f>
        <v>39.381000556935909</v>
      </c>
      <c r="S50" s="13">
        <f>SQRT(4*S49/(PI()))*12</f>
        <v>36.837552908101983</v>
      </c>
      <c r="T50" s="15">
        <v>32</v>
      </c>
    </row>
    <row r="51" spans="2:22" ht="15.75" thickBot="1" x14ac:dyDescent="0.3"/>
    <row r="52" spans="2:22" x14ac:dyDescent="0.25">
      <c r="B52" s="6" t="s">
        <v>66</v>
      </c>
      <c r="C52" s="7">
        <f>W37</f>
        <v>24342.105263157897</v>
      </c>
      <c r="D52" s="7"/>
      <c r="E52" s="8"/>
      <c r="F52" s="1"/>
      <c r="G52" s="6" t="s">
        <v>67</v>
      </c>
      <c r="H52" s="7">
        <f>W38</f>
        <v>25000.000000000004</v>
      </c>
      <c r="I52" s="7"/>
      <c r="J52" s="8"/>
      <c r="L52" s="35"/>
      <c r="M52" s="36"/>
      <c r="N52" s="36"/>
      <c r="O52" s="36"/>
      <c r="P52" s="35"/>
      <c r="Q52" s="35"/>
      <c r="R52" s="36"/>
      <c r="S52" s="36"/>
      <c r="T52" s="36"/>
    </row>
    <row r="53" spans="2:22" x14ac:dyDescent="0.25">
      <c r="B53" s="9" t="s">
        <v>2</v>
      </c>
      <c r="C53" s="4">
        <f>$C$4</f>
        <v>2800</v>
      </c>
      <c r="D53" s="4">
        <f>$C$5</f>
        <v>3200</v>
      </c>
      <c r="E53" s="10">
        <f>C52/E54</f>
        <v>4358.4371751316739</v>
      </c>
      <c r="F53" s="1"/>
      <c r="G53" s="9" t="s">
        <v>2</v>
      </c>
      <c r="H53" s="4">
        <f>$C$4</f>
        <v>2800</v>
      </c>
      <c r="I53" s="4">
        <f>$C$5</f>
        <v>3200</v>
      </c>
      <c r="J53" s="10">
        <f>H52/J54</f>
        <v>4476.2327744595568</v>
      </c>
      <c r="L53" s="35"/>
      <c r="M53" s="36"/>
      <c r="N53" s="36"/>
      <c r="O53" s="36"/>
      <c r="P53" s="35"/>
      <c r="Q53" s="35"/>
      <c r="R53" s="36"/>
      <c r="S53" s="36"/>
      <c r="T53" s="36"/>
    </row>
    <row r="54" spans="2:22" x14ac:dyDescent="0.25">
      <c r="B54" s="9"/>
      <c r="C54" s="5">
        <f>C52/C53</f>
        <v>8.6936090225563909</v>
      </c>
      <c r="D54" s="5">
        <f>C52/D53</f>
        <v>7.6069078947368425</v>
      </c>
      <c r="E54" s="11">
        <f>(((E55/12)^2)/4)*PI()</f>
        <v>5.5850536063818543</v>
      </c>
      <c r="F54" s="2"/>
      <c r="G54" s="9"/>
      <c r="H54" s="5">
        <f>H52/H53</f>
        <v>8.9285714285714306</v>
      </c>
      <c r="I54" s="5">
        <f>H52/I53</f>
        <v>7.8125000000000009</v>
      </c>
      <c r="J54" s="11">
        <f>(((J55/12)^2)/4)*PI()</f>
        <v>5.5850536063818543</v>
      </c>
      <c r="L54" s="35"/>
      <c r="M54" s="37"/>
      <c r="N54" s="37"/>
      <c r="O54" s="37"/>
      <c r="P54" s="35"/>
      <c r="Q54" s="35"/>
      <c r="R54" s="37"/>
      <c r="S54" s="37"/>
      <c r="T54" s="37"/>
    </row>
    <row r="55" spans="2:22" ht="15.75" thickBot="1" x14ac:dyDescent="0.3">
      <c r="B55" s="12"/>
      <c r="C55" s="13">
        <f>SQRT(4*C54/(PI()))*12</f>
        <v>39.924212432230512</v>
      </c>
      <c r="D55" s="13">
        <f>SQRT(4*D54/(PI()))*12</f>
        <v>37.345681089546829</v>
      </c>
      <c r="E55" s="15">
        <v>32</v>
      </c>
      <c r="F55" s="2"/>
      <c r="G55" s="12"/>
      <c r="H55" s="13">
        <f>SQRT(4*H54/(PI()))*12</f>
        <v>40.460131880684131</v>
      </c>
      <c r="I55" s="13">
        <f>SQRT(4*I54/(PI()))*12</f>
        <v>37.846987830302403</v>
      </c>
      <c r="J55" s="15">
        <v>32</v>
      </c>
      <c r="L55" s="35"/>
      <c r="M55" s="37"/>
      <c r="N55" s="37"/>
      <c r="O55" s="38"/>
      <c r="P55" s="35"/>
      <c r="Q55" s="35"/>
      <c r="R55" s="37"/>
      <c r="S55" s="37"/>
      <c r="T55" s="38"/>
    </row>
    <row r="56" spans="2:22" x14ac:dyDescent="0.25">
      <c r="L56" s="35"/>
      <c r="M56" s="35"/>
      <c r="N56" s="35"/>
      <c r="O56" s="35"/>
      <c r="P56" s="35"/>
      <c r="Q56" s="35"/>
      <c r="R56" s="35"/>
      <c r="S56" s="35"/>
      <c r="T56" s="35"/>
    </row>
    <row r="57" spans="2:22" x14ac:dyDescent="0.25">
      <c r="L57" s="35"/>
      <c r="M57" s="35"/>
      <c r="N57" s="35"/>
      <c r="O57" s="35"/>
      <c r="P57" s="35"/>
      <c r="Q57" s="35"/>
      <c r="R57" s="35"/>
      <c r="S57" s="35"/>
      <c r="T57" s="35"/>
    </row>
    <row r="62" spans="2:22" x14ac:dyDescent="0.25">
      <c r="U62" s="35"/>
      <c r="V62" s="35"/>
    </row>
    <row r="63" spans="2:22" x14ac:dyDescent="0.25">
      <c r="U63" s="35"/>
      <c r="V63" s="35"/>
    </row>
    <row r="64" spans="2:22" x14ac:dyDescent="0.25">
      <c r="U64" s="35"/>
      <c r="V64" s="35"/>
    </row>
    <row r="65" spans="21:22" x14ac:dyDescent="0.25">
      <c r="U65" s="35"/>
      <c r="V65" s="35"/>
    </row>
    <row r="66" spans="21:22" x14ac:dyDescent="0.25">
      <c r="U66" s="35"/>
      <c r="V66" s="35"/>
    </row>
    <row r="67" spans="21:22" x14ac:dyDescent="0.25">
      <c r="U67" s="35"/>
      <c r="V67" s="35"/>
    </row>
  </sheetData>
  <mergeCells count="1">
    <mergeCell ref="G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I29"/>
  <sheetViews>
    <sheetView workbookViewId="0">
      <selection activeCell="I11" sqref="I11"/>
    </sheetView>
  </sheetViews>
  <sheetFormatPr defaultRowHeight="15" x14ac:dyDescent="0.25"/>
  <cols>
    <col min="5" max="9" width="5.42578125" style="16" customWidth="1"/>
  </cols>
  <sheetData>
    <row r="1" spans="5:9" ht="15.75" thickBot="1" x14ac:dyDescent="0.3"/>
    <row r="2" spans="5:9" x14ac:dyDescent="0.25">
      <c r="E2" s="17" t="s">
        <v>23</v>
      </c>
      <c r="F2" s="18" t="s">
        <v>24</v>
      </c>
      <c r="G2" s="18" t="s">
        <v>25</v>
      </c>
      <c r="H2" s="18" t="s">
        <v>26</v>
      </c>
      <c r="I2" s="19" t="s">
        <v>27</v>
      </c>
    </row>
    <row r="3" spans="5:9" ht="15.75" thickBot="1" x14ac:dyDescent="0.3">
      <c r="E3" s="20">
        <v>28</v>
      </c>
      <c r="F3" s="21">
        <v>20</v>
      </c>
      <c r="G3" s="21">
        <v>20</v>
      </c>
      <c r="H3" s="22">
        <f>IF(E3&gt;((G3*2)+6),E3,((G3*2)+6))</f>
        <v>46</v>
      </c>
      <c r="I3" s="23">
        <f>IF(G3&gt;=19,14.5,IF(G3&lt;=12,8.5,11.5))</f>
        <v>14.5</v>
      </c>
    </row>
    <row r="29" ht="17.25" customHeight="1" x14ac:dyDescent="0.25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7"/>
  <sheetViews>
    <sheetView workbookViewId="0">
      <selection activeCell="J18" sqref="J18"/>
    </sheetView>
  </sheetViews>
  <sheetFormatPr defaultRowHeight="15" x14ac:dyDescent="0.25"/>
  <cols>
    <col min="1" max="1" width="9.140625" customWidth="1"/>
    <col min="2" max="2" width="18.5703125" bestFit="1" customWidth="1"/>
    <col min="3" max="3" width="4" bestFit="1" customWidth="1"/>
    <col min="4" max="4" width="5" bestFit="1" customWidth="1"/>
  </cols>
  <sheetData>
    <row r="1" spans="2:5" ht="15.75" thickBot="1" x14ac:dyDescent="0.3"/>
    <row r="2" spans="2:5" x14ac:dyDescent="0.25">
      <c r="B2" s="6" t="s">
        <v>40</v>
      </c>
      <c r="C2" s="28">
        <v>12</v>
      </c>
      <c r="D2" s="29" t="s">
        <v>46</v>
      </c>
      <c r="E2" s="40" t="s">
        <v>49</v>
      </c>
    </row>
    <row r="3" spans="2:5" x14ac:dyDescent="0.25">
      <c r="B3" s="9" t="s">
        <v>41</v>
      </c>
      <c r="C3" s="25">
        <v>13</v>
      </c>
      <c r="D3" s="30" t="s">
        <v>46</v>
      </c>
      <c r="E3" s="41"/>
    </row>
    <row r="4" spans="2:5" x14ac:dyDescent="0.25">
      <c r="B4" s="9" t="s">
        <v>42</v>
      </c>
      <c r="C4" s="25">
        <v>10</v>
      </c>
      <c r="D4" s="30" t="s">
        <v>46</v>
      </c>
      <c r="E4" s="41"/>
    </row>
    <row r="5" spans="2:5" x14ac:dyDescent="0.25">
      <c r="B5" s="9" t="s">
        <v>43</v>
      </c>
      <c r="C5" s="25">
        <v>15</v>
      </c>
      <c r="D5" s="30"/>
      <c r="E5" s="26" t="s">
        <v>47</v>
      </c>
    </row>
    <row r="6" spans="2:5" ht="15.75" thickBot="1" x14ac:dyDescent="0.3">
      <c r="B6" s="31" t="s">
        <v>45</v>
      </c>
      <c r="C6" s="32">
        <f>C3*C4*C2*C5/60</f>
        <v>390</v>
      </c>
      <c r="D6" s="33" t="s">
        <v>44</v>
      </c>
      <c r="E6" s="27" t="s">
        <v>48</v>
      </c>
    </row>
    <row r="7" spans="2:5" x14ac:dyDescent="0.25">
      <c r="E7" s="24"/>
    </row>
  </sheetData>
  <mergeCells count="1">
    <mergeCell ref="E2:E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9"/>
  <sheetViews>
    <sheetView workbookViewId="0">
      <selection activeCell="E21" sqref="E21"/>
    </sheetView>
  </sheetViews>
  <sheetFormatPr defaultRowHeight="15" x14ac:dyDescent="0.25"/>
  <cols>
    <col min="1" max="1" width="13.85546875" bestFit="1" customWidth="1"/>
    <col min="4" max="4" width="9.140625" customWidth="1"/>
    <col min="6" max="6" width="9.140625" customWidth="1"/>
    <col min="17" max="58" width="9.140625" customWidth="1"/>
  </cols>
  <sheetData>
    <row r="1" spans="1:65" x14ac:dyDescent="0.25">
      <c r="B1" s="34" t="s">
        <v>44</v>
      </c>
      <c r="D1" s="39">
        <v>2200</v>
      </c>
      <c r="E1" s="39"/>
      <c r="F1" s="39">
        <v>3000</v>
      </c>
      <c r="G1" s="39"/>
      <c r="K1" s="39">
        <v>2200</v>
      </c>
      <c r="L1" s="39"/>
      <c r="M1" s="39">
        <v>3000</v>
      </c>
      <c r="N1" s="39"/>
      <c r="R1" s="39">
        <v>2200</v>
      </c>
      <c r="S1" s="39"/>
      <c r="T1" s="39">
        <v>3000</v>
      </c>
      <c r="U1" s="39"/>
    </row>
    <row r="2" spans="1:65" x14ac:dyDescent="0.25">
      <c r="A2" s="42" t="s">
        <v>50</v>
      </c>
      <c r="B2">
        <v>250</v>
      </c>
      <c r="C2">
        <f>B2*$B$19/$B$18</f>
        <v>235</v>
      </c>
      <c r="D2">
        <f>C2/$D$1</f>
        <v>0.10681818181818181</v>
      </c>
      <c r="E2">
        <f>SQRT(4*D2/(PI()))*12</f>
        <v>4.4254648545680739</v>
      </c>
      <c r="F2">
        <f>C2/$F$1</f>
        <v>7.8333333333333338E-2</v>
      </c>
      <c r="G2">
        <f>SQRT(4*F2/(PI()))*12</f>
        <v>3.7897416883756918</v>
      </c>
      <c r="H2">
        <v>4</v>
      </c>
      <c r="I2">
        <f>C2/((((H2/12)^2)/4)*PI())</f>
        <v>2692.9016371148691</v>
      </c>
      <c r="J2" s="42">
        <f>SUM(C2:C3)</f>
        <v>470</v>
      </c>
      <c r="K2" s="42">
        <f>J2/$K$1</f>
        <v>0.21363636363636362</v>
      </c>
      <c r="L2" s="42">
        <f t="shared" ref="L2:L14" si="0">SQRT(4*K2/(PI()))*12</f>
        <v>6.2585524171356486</v>
      </c>
      <c r="M2" s="42">
        <f>J2/$M$1</f>
        <v>0.15666666666666668</v>
      </c>
      <c r="N2" s="42">
        <f t="shared" ref="N2:N14" si="1">SQRT(4*M2/(PI()))*12</f>
        <v>5.3595040935916147</v>
      </c>
      <c r="O2" s="42">
        <v>6</v>
      </c>
      <c r="P2" s="42">
        <f>J2/((((O2/12)^2)/4)*PI())</f>
        <v>2393.6903441021059</v>
      </c>
      <c r="Q2" s="42">
        <f>SUM(J2:J5)</f>
        <v>940</v>
      </c>
      <c r="R2" s="42">
        <f t="shared" ref="R2" si="2">Q2/$K$1</f>
        <v>0.42727272727272725</v>
      </c>
      <c r="S2" s="42">
        <f t="shared" ref="S2" si="3">SQRT(4*R2/(PI()))*12</f>
        <v>8.8509297091361478</v>
      </c>
      <c r="T2" s="42">
        <f t="shared" ref="T2" si="4">Q2/$M$1</f>
        <v>0.31333333333333335</v>
      </c>
      <c r="U2" s="42">
        <f t="shared" ref="U2" si="5">SQRT(4*T2/(PI()))*12</f>
        <v>7.5794833767513836</v>
      </c>
      <c r="V2" s="42">
        <v>8</v>
      </c>
      <c r="W2" s="42">
        <f t="shared" ref="W2" si="6">Q2/((((V2/12)^2)/4)*PI())</f>
        <v>2692.9016371148691</v>
      </c>
    </row>
    <row r="3" spans="1:65" x14ac:dyDescent="0.25">
      <c r="A3" s="42"/>
      <c r="B3">
        <v>250</v>
      </c>
      <c r="C3">
        <f t="shared" ref="C3:C17" si="7">B3*$B$19/$B$18</f>
        <v>235</v>
      </c>
      <c r="D3">
        <f t="shared" ref="D3:D17" si="8">C3/$D$1</f>
        <v>0.10681818181818181</v>
      </c>
      <c r="E3">
        <f t="shared" ref="E3:E17" si="9">SQRT(4*D3/(PI()))*12</f>
        <v>4.4254648545680739</v>
      </c>
      <c r="F3">
        <f t="shared" ref="F3:F17" si="10">C3/$F$1</f>
        <v>7.8333333333333338E-2</v>
      </c>
      <c r="G3">
        <f t="shared" ref="G3:G17" si="11">SQRT(4*F3/(PI()))*12</f>
        <v>3.7897416883756918</v>
      </c>
      <c r="H3">
        <v>4</v>
      </c>
      <c r="I3">
        <f t="shared" ref="I3:I17" si="12">C3/((((H3/12)^2)/4)*PI())</f>
        <v>2692.9016371148691</v>
      </c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Y3" s="39">
        <v>2200</v>
      </c>
      <c r="Z3" s="39"/>
      <c r="AA3" s="39">
        <v>3000</v>
      </c>
      <c r="AB3" s="39"/>
    </row>
    <row r="4" spans="1:65" x14ac:dyDescent="0.25">
      <c r="A4" s="42" t="s">
        <v>50</v>
      </c>
      <c r="B4">
        <v>250</v>
      </c>
      <c r="C4">
        <f t="shared" si="7"/>
        <v>235</v>
      </c>
      <c r="D4">
        <f t="shared" si="8"/>
        <v>0.10681818181818181</v>
      </c>
      <c r="E4">
        <f t="shared" si="9"/>
        <v>4.4254648545680739</v>
      </c>
      <c r="F4">
        <f t="shared" si="10"/>
        <v>7.8333333333333338E-2</v>
      </c>
      <c r="G4">
        <f t="shared" si="11"/>
        <v>3.7897416883756918</v>
      </c>
      <c r="H4">
        <v>4</v>
      </c>
      <c r="I4">
        <f t="shared" si="12"/>
        <v>2692.9016371148691</v>
      </c>
      <c r="J4" s="42">
        <f>SUM(C4:C5)</f>
        <v>470</v>
      </c>
      <c r="K4" s="42">
        <f>J4/$K$1</f>
        <v>0.21363636363636362</v>
      </c>
      <c r="L4" s="42">
        <f t="shared" si="0"/>
        <v>6.2585524171356486</v>
      </c>
      <c r="M4" s="42">
        <f>J4/$M$1</f>
        <v>0.15666666666666668</v>
      </c>
      <c r="N4" s="42">
        <f t="shared" si="1"/>
        <v>5.3595040935916147</v>
      </c>
      <c r="O4" s="42">
        <v>6</v>
      </c>
      <c r="P4" s="42">
        <f>J4/((((O4/12)^2)/4)*PI())</f>
        <v>2393.6903441021059</v>
      </c>
      <c r="Q4" s="42"/>
      <c r="R4" s="42"/>
      <c r="S4" s="42"/>
      <c r="T4" s="42"/>
      <c r="U4" s="42"/>
      <c r="V4" s="42"/>
      <c r="W4" s="42"/>
      <c r="X4" s="42">
        <f>Q2+J6</f>
        <v>1410</v>
      </c>
      <c r="Y4" s="42">
        <f t="shared" ref="Y4" si="13">X4/$K$1</f>
        <v>0.64090909090909087</v>
      </c>
      <c r="Z4" s="42">
        <f t="shared" ref="Z4" si="14">SQRT(4*Y4/(PI()))*12</f>
        <v>10.840130768311948</v>
      </c>
      <c r="AA4" s="42">
        <f t="shared" ref="AA4" si="15">X4/$M$1</f>
        <v>0.47</v>
      </c>
      <c r="AB4" s="42">
        <f t="shared" ref="AB4" si="16">SQRT(4*AA4/(PI()))*12</f>
        <v>9.2829333934740603</v>
      </c>
      <c r="AC4" s="42">
        <v>10</v>
      </c>
      <c r="AD4" s="42">
        <f t="shared" ref="AD4" si="17">X4/((((AC4/12)^2)/4)*PI())</f>
        <v>2585.1855716302744</v>
      </c>
    </row>
    <row r="5" spans="1:65" x14ac:dyDescent="0.25">
      <c r="A5" s="42"/>
      <c r="B5">
        <v>250</v>
      </c>
      <c r="C5">
        <f t="shared" si="7"/>
        <v>235</v>
      </c>
      <c r="D5">
        <f t="shared" si="8"/>
        <v>0.10681818181818181</v>
      </c>
      <c r="E5">
        <f t="shared" si="9"/>
        <v>4.4254648545680739</v>
      </c>
      <c r="F5">
        <f t="shared" si="10"/>
        <v>7.8333333333333338E-2</v>
      </c>
      <c r="G5">
        <f t="shared" si="11"/>
        <v>3.7897416883756918</v>
      </c>
      <c r="H5">
        <v>4</v>
      </c>
      <c r="I5">
        <f t="shared" si="12"/>
        <v>2692.9016371148691</v>
      </c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F5" s="39">
        <v>2200</v>
      </c>
      <c r="AG5" s="39"/>
      <c r="AH5" s="39">
        <v>3000</v>
      </c>
      <c r="AI5" s="39"/>
    </row>
    <row r="6" spans="1:65" x14ac:dyDescent="0.25">
      <c r="A6" s="42" t="s">
        <v>50</v>
      </c>
      <c r="B6">
        <v>250</v>
      </c>
      <c r="C6">
        <f t="shared" si="7"/>
        <v>235</v>
      </c>
      <c r="D6">
        <f t="shared" si="8"/>
        <v>0.10681818181818181</v>
      </c>
      <c r="E6">
        <f t="shared" si="9"/>
        <v>4.4254648545680739</v>
      </c>
      <c r="F6">
        <f t="shared" si="10"/>
        <v>7.8333333333333338E-2</v>
      </c>
      <c r="G6">
        <f t="shared" si="11"/>
        <v>3.7897416883756918</v>
      </c>
      <c r="H6">
        <v>4</v>
      </c>
      <c r="I6">
        <f t="shared" si="12"/>
        <v>2692.9016371148691</v>
      </c>
      <c r="J6" s="42">
        <f>SUM(C6:C7)</f>
        <v>470</v>
      </c>
      <c r="K6" s="42">
        <f>J6/$K$1</f>
        <v>0.21363636363636362</v>
      </c>
      <c r="L6" s="42">
        <f t="shared" si="0"/>
        <v>6.2585524171356486</v>
      </c>
      <c r="M6" s="42">
        <f>J6/$M$1</f>
        <v>0.15666666666666668</v>
      </c>
      <c r="N6" s="42">
        <f t="shared" si="1"/>
        <v>5.3595040935916147</v>
      </c>
      <c r="O6" s="42">
        <v>6</v>
      </c>
      <c r="P6" s="42">
        <f>J6/((((O6/12)^2)/4)*PI())</f>
        <v>2393.6903441021059</v>
      </c>
      <c r="X6" s="42"/>
      <c r="Y6" s="42"/>
      <c r="Z6" s="42"/>
      <c r="AA6" s="42"/>
      <c r="AB6" s="42"/>
      <c r="AC6" s="42"/>
      <c r="AD6" s="42"/>
      <c r="AE6" s="42">
        <f>X4+J8</f>
        <v>1880</v>
      </c>
      <c r="AF6" s="42">
        <f t="shared" ref="AF6" si="18">AE6/$K$1</f>
        <v>0.8545454545454545</v>
      </c>
      <c r="AG6" s="42">
        <f t="shared" ref="AG6" si="19">SQRT(4*AF6/(PI()))*12</f>
        <v>12.517104834271297</v>
      </c>
      <c r="AH6" s="42">
        <f t="shared" ref="AH6" si="20">AE6/$M$1</f>
        <v>0.62666666666666671</v>
      </c>
      <c r="AI6" s="42">
        <f t="shared" ref="AI6" si="21">SQRT(4*AH6/(PI()))*12</f>
        <v>10.719008187183229</v>
      </c>
      <c r="AJ6" s="42">
        <v>12</v>
      </c>
      <c r="AK6" s="42">
        <f t="shared" ref="AK6" si="22">AE6/((((AJ6/12)^2)/4)*PI())</f>
        <v>2393.6903441021059</v>
      </c>
    </row>
    <row r="7" spans="1:65" x14ac:dyDescent="0.25">
      <c r="A7" s="42"/>
      <c r="B7">
        <v>250</v>
      </c>
      <c r="C7">
        <f t="shared" si="7"/>
        <v>235</v>
      </c>
      <c r="D7">
        <f t="shared" si="8"/>
        <v>0.10681818181818181</v>
      </c>
      <c r="E7">
        <f t="shared" si="9"/>
        <v>4.4254648545680739</v>
      </c>
      <c r="F7">
        <f t="shared" si="10"/>
        <v>7.8333333333333338E-2</v>
      </c>
      <c r="G7">
        <f t="shared" si="11"/>
        <v>3.7897416883756918</v>
      </c>
      <c r="H7">
        <v>4</v>
      </c>
      <c r="I7">
        <f t="shared" si="12"/>
        <v>2692.9016371148691</v>
      </c>
      <c r="J7" s="42"/>
      <c r="K7" s="42"/>
      <c r="L7" s="42"/>
      <c r="M7" s="42"/>
      <c r="N7" s="42"/>
      <c r="O7" s="42"/>
      <c r="P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M7" s="39">
        <v>2200</v>
      </c>
      <c r="AN7" s="39"/>
      <c r="AO7" s="39">
        <v>3000</v>
      </c>
      <c r="AP7" s="39"/>
    </row>
    <row r="8" spans="1:65" x14ac:dyDescent="0.25">
      <c r="A8" s="42" t="s">
        <v>50</v>
      </c>
      <c r="B8">
        <v>250</v>
      </c>
      <c r="C8">
        <f t="shared" si="7"/>
        <v>235</v>
      </c>
      <c r="D8">
        <f t="shared" si="8"/>
        <v>0.10681818181818181</v>
      </c>
      <c r="E8">
        <f t="shared" si="9"/>
        <v>4.4254648545680739</v>
      </c>
      <c r="F8">
        <f t="shared" si="10"/>
        <v>7.8333333333333338E-2</v>
      </c>
      <c r="G8">
        <f t="shared" si="11"/>
        <v>3.7897416883756918</v>
      </c>
      <c r="H8">
        <v>4</v>
      </c>
      <c r="I8">
        <f t="shared" si="12"/>
        <v>2692.9016371148691</v>
      </c>
      <c r="J8" s="42">
        <f>SUM(C8:C9)</f>
        <v>470</v>
      </c>
      <c r="K8" s="42">
        <f>J8/$K$1</f>
        <v>0.21363636363636362</v>
      </c>
      <c r="L8" s="42">
        <f t="shared" si="0"/>
        <v>6.2585524171356486</v>
      </c>
      <c r="M8" s="42">
        <f>J8/$M$1</f>
        <v>0.15666666666666668</v>
      </c>
      <c r="N8" s="42">
        <f t="shared" si="1"/>
        <v>5.3595040935916147</v>
      </c>
      <c r="O8" s="42">
        <v>6</v>
      </c>
      <c r="P8" s="42">
        <f>J8/((((O8/12)^2)/4)*PI())</f>
        <v>2393.6903441021059</v>
      </c>
      <c r="AE8" s="42"/>
      <c r="AF8" s="42"/>
      <c r="AG8" s="42"/>
      <c r="AH8" s="42"/>
      <c r="AI8" s="42"/>
      <c r="AJ8" s="42"/>
      <c r="AK8" s="42"/>
      <c r="AL8" s="42">
        <f>AE6+J10</f>
        <v>2350</v>
      </c>
      <c r="AM8" s="42">
        <f t="shared" ref="AM8" si="23">AL8/$K$1</f>
        <v>1.0681818181818181</v>
      </c>
      <c r="AN8" s="42">
        <f t="shared" ref="AN8" si="24">SQRT(4*AM8/(PI()))*12</f>
        <v>13.994548645460927</v>
      </c>
      <c r="AO8" s="42">
        <f t="shared" ref="AO8" si="25">AL8/$M$1</f>
        <v>0.78333333333333333</v>
      </c>
      <c r="AP8" s="42">
        <f t="shared" ref="AP8" si="26">SQRT(4*AO8/(PI()))*12</f>
        <v>11.984215478959245</v>
      </c>
      <c r="AQ8" s="42">
        <v>12</v>
      </c>
      <c r="AR8" s="42">
        <f t="shared" ref="AR8" si="27">AL8/((((AQ8/12)^2)/4)*PI())</f>
        <v>2992.1129301276324</v>
      </c>
    </row>
    <row r="9" spans="1:65" x14ac:dyDescent="0.25">
      <c r="A9" s="42"/>
      <c r="B9">
        <v>250</v>
      </c>
      <c r="C9">
        <f t="shared" si="7"/>
        <v>235</v>
      </c>
      <c r="D9">
        <f t="shared" si="8"/>
        <v>0.10681818181818181</v>
      </c>
      <c r="E9">
        <f t="shared" si="9"/>
        <v>4.4254648545680739</v>
      </c>
      <c r="F9">
        <f t="shared" si="10"/>
        <v>7.8333333333333338E-2</v>
      </c>
      <c r="G9">
        <f t="shared" si="11"/>
        <v>3.7897416883756918</v>
      </c>
      <c r="H9">
        <v>4</v>
      </c>
      <c r="I9">
        <f t="shared" si="12"/>
        <v>2692.9016371148691</v>
      </c>
      <c r="J9" s="42"/>
      <c r="K9" s="42"/>
      <c r="L9" s="42"/>
      <c r="M9" s="42"/>
      <c r="N9" s="42"/>
      <c r="O9" s="42"/>
      <c r="P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T9" s="39">
        <v>2200</v>
      </c>
      <c r="AU9" s="39"/>
      <c r="AV9" s="39">
        <v>3000</v>
      </c>
      <c r="AW9" s="39"/>
    </row>
    <row r="10" spans="1:65" x14ac:dyDescent="0.25">
      <c r="A10" s="42" t="s">
        <v>50</v>
      </c>
      <c r="B10">
        <v>250</v>
      </c>
      <c r="C10">
        <f t="shared" si="7"/>
        <v>235</v>
      </c>
      <c r="D10">
        <f t="shared" si="8"/>
        <v>0.10681818181818181</v>
      </c>
      <c r="E10">
        <f t="shared" si="9"/>
        <v>4.4254648545680739</v>
      </c>
      <c r="F10">
        <f t="shared" si="10"/>
        <v>7.8333333333333338E-2</v>
      </c>
      <c r="G10">
        <f t="shared" si="11"/>
        <v>3.7897416883756918</v>
      </c>
      <c r="H10">
        <v>4</v>
      </c>
      <c r="I10">
        <f t="shared" si="12"/>
        <v>2692.9016371148691</v>
      </c>
      <c r="J10" s="42">
        <f>SUM(C10:C11)</f>
        <v>470</v>
      </c>
      <c r="K10" s="42">
        <f>J10/$K$1</f>
        <v>0.21363636363636362</v>
      </c>
      <c r="L10" s="42">
        <f t="shared" si="0"/>
        <v>6.2585524171356486</v>
      </c>
      <c r="M10" s="42">
        <f>J10/$M$1</f>
        <v>0.15666666666666668</v>
      </c>
      <c r="N10" s="42">
        <f t="shared" si="1"/>
        <v>5.3595040935916147</v>
      </c>
      <c r="O10" s="42">
        <v>6</v>
      </c>
      <c r="P10" s="42">
        <f>J10/((((O10/12)^2)/4)*PI())</f>
        <v>2393.6903441021059</v>
      </c>
      <c r="AL10" s="42"/>
      <c r="AM10" s="42"/>
      <c r="AN10" s="42"/>
      <c r="AO10" s="42"/>
      <c r="AP10" s="42"/>
      <c r="AQ10" s="42"/>
      <c r="AR10" s="42"/>
      <c r="AS10" s="42">
        <f>AL8+J12</f>
        <v>2820</v>
      </c>
      <c r="AT10" s="42">
        <f t="shared" ref="AT10" si="28">AS10/$K$1</f>
        <v>1.2818181818181817</v>
      </c>
      <c r="AU10" s="42">
        <f t="shared" ref="AU10" si="29">SQRT(4*AT10/(PI()))*12</f>
        <v>15.330259950444635</v>
      </c>
      <c r="AV10" s="42">
        <f t="shared" ref="AV10" si="30">AS10/$M$1</f>
        <v>0.94</v>
      </c>
      <c r="AW10" s="42">
        <f t="shared" ref="AW10" si="31">SQRT(4*AV10/(PI()))*12</f>
        <v>13.128050303657112</v>
      </c>
      <c r="AX10" s="42">
        <v>14</v>
      </c>
      <c r="AY10" s="42">
        <f t="shared" ref="AY10" si="32">AS10/((((AX10/12)^2)/4)*PI())</f>
        <v>2637.9444608472186</v>
      </c>
    </row>
    <row r="11" spans="1:65" x14ac:dyDescent="0.25">
      <c r="A11" s="42"/>
      <c r="B11">
        <v>250</v>
      </c>
      <c r="C11">
        <f t="shared" si="7"/>
        <v>235</v>
      </c>
      <c r="D11">
        <f t="shared" si="8"/>
        <v>0.10681818181818181</v>
      </c>
      <c r="E11">
        <f t="shared" si="9"/>
        <v>4.4254648545680739</v>
      </c>
      <c r="F11">
        <f t="shared" si="10"/>
        <v>7.8333333333333338E-2</v>
      </c>
      <c r="G11">
        <f t="shared" si="11"/>
        <v>3.7897416883756918</v>
      </c>
      <c r="H11">
        <v>4</v>
      </c>
      <c r="I11">
        <f t="shared" si="12"/>
        <v>2692.9016371148691</v>
      </c>
      <c r="J11" s="42"/>
      <c r="K11" s="42"/>
      <c r="L11" s="42"/>
      <c r="M11" s="42"/>
      <c r="N11" s="42"/>
      <c r="O11" s="42"/>
      <c r="P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BA11" s="39">
        <v>2200</v>
      </c>
      <c r="BB11" s="39"/>
      <c r="BC11" s="39">
        <v>3000</v>
      </c>
      <c r="BD11" s="39"/>
    </row>
    <row r="12" spans="1:65" x14ac:dyDescent="0.25">
      <c r="A12" s="42" t="s">
        <v>50</v>
      </c>
      <c r="B12">
        <v>250</v>
      </c>
      <c r="C12">
        <f t="shared" si="7"/>
        <v>235</v>
      </c>
      <c r="D12">
        <f t="shared" si="8"/>
        <v>0.10681818181818181</v>
      </c>
      <c r="E12">
        <f t="shared" si="9"/>
        <v>4.4254648545680739</v>
      </c>
      <c r="F12">
        <f t="shared" si="10"/>
        <v>7.8333333333333338E-2</v>
      </c>
      <c r="G12">
        <f t="shared" si="11"/>
        <v>3.7897416883756918</v>
      </c>
      <c r="H12">
        <v>4</v>
      </c>
      <c r="I12">
        <f t="shared" si="12"/>
        <v>2692.9016371148691</v>
      </c>
      <c r="J12" s="42">
        <f>SUM(C12:C13)</f>
        <v>470</v>
      </c>
      <c r="K12" s="42">
        <f>J12/$K$1</f>
        <v>0.21363636363636362</v>
      </c>
      <c r="L12" s="42">
        <f t="shared" si="0"/>
        <v>6.2585524171356486</v>
      </c>
      <c r="M12" s="42">
        <f>J12/$M$1</f>
        <v>0.15666666666666668</v>
      </c>
      <c r="N12" s="42">
        <f t="shared" si="1"/>
        <v>5.3595040935916147</v>
      </c>
      <c r="O12" s="42">
        <v>6</v>
      </c>
      <c r="P12" s="42">
        <f>J12/((((O12/12)^2)/4)*PI())</f>
        <v>2393.6903441021059</v>
      </c>
      <c r="AS12" s="42"/>
      <c r="AT12" s="42"/>
      <c r="AU12" s="42"/>
      <c r="AV12" s="42"/>
      <c r="AW12" s="42"/>
      <c r="AX12" s="42"/>
      <c r="AY12" s="42"/>
      <c r="AZ12" s="42">
        <f>AS10+J14</f>
        <v>3290</v>
      </c>
      <c r="BA12" s="42">
        <f t="shared" ref="BA12" si="33">AZ12/$K$1</f>
        <v>1.4954545454545454</v>
      </c>
      <c r="BB12" s="42">
        <f t="shared" ref="BB12" si="34">SQRT(4*BA12/(PI()))*12</f>
        <v>16.558573263003101</v>
      </c>
      <c r="BC12" s="42">
        <f t="shared" ref="BC12" si="35">AZ12/$M$1</f>
        <v>1.0966666666666667</v>
      </c>
      <c r="BD12" s="42">
        <f t="shared" ref="BD12" si="36">SQRT(4*BC12/(PI()))*12</f>
        <v>14.179914982276053</v>
      </c>
      <c r="BE12" s="42">
        <v>14</v>
      </c>
      <c r="BF12" s="42">
        <f t="shared" ref="BF12" si="37">AZ12/((((BE12/12)^2)/4)*PI())</f>
        <v>3077.6018709884215</v>
      </c>
    </row>
    <row r="13" spans="1:65" x14ac:dyDescent="0.25">
      <c r="A13" s="42"/>
      <c r="B13">
        <v>250</v>
      </c>
      <c r="C13">
        <f t="shared" si="7"/>
        <v>235</v>
      </c>
      <c r="D13">
        <f t="shared" si="8"/>
        <v>0.10681818181818181</v>
      </c>
      <c r="E13">
        <f t="shared" si="9"/>
        <v>4.4254648545680739</v>
      </c>
      <c r="F13">
        <f t="shared" si="10"/>
        <v>7.8333333333333338E-2</v>
      </c>
      <c r="G13">
        <f t="shared" si="11"/>
        <v>3.7897416883756918</v>
      </c>
      <c r="H13">
        <v>4</v>
      </c>
      <c r="I13">
        <f t="shared" si="12"/>
        <v>2692.9016371148691</v>
      </c>
      <c r="J13" s="42"/>
      <c r="K13" s="42"/>
      <c r="L13" s="42"/>
      <c r="M13" s="42"/>
      <c r="N13" s="42"/>
      <c r="O13" s="42"/>
      <c r="P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H13" s="39">
        <v>2200</v>
      </c>
      <c r="BI13" s="39"/>
      <c r="BJ13" s="39">
        <v>3000</v>
      </c>
      <c r="BK13" s="39"/>
    </row>
    <row r="14" spans="1:65" x14ac:dyDescent="0.25">
      <c r="A14" s="42" t="s">
        <v>50</v>
      </c>
      <c r="B14">
        <v>250</v>
      </c>
      <c r="C14">
        <f t="shared" si="7"/>
        <v>235</v>
      </c>
      <c r="D14">
        <f t="shared" si="8"/>
        <v>0.10681818181818181</v>
      </c>
      <c r="E14">
        <f t="shared" si="9"/>
        <v>4.4254648545680739</v>
      </c>
      <c r="F14">
        <f t="shared" si="10"/>
        <v>7.8333333333333338E-2</v>
      </c>
      <c r="G14">
        <f t="shared" si="11"/>
        <v>3.7897416883756918</v>
      </c>
      <c r="H14">
        <v>4</v>
      </c>
      <c r="I14">
        <f t="shared" si="12"/>
        <v>2692.9016371148691</v>
      </c>
      <c r="J14" s="42">
        <f>SUM(C14:C15)</f>
        <v>470</v>
      </c>
      <c r="K14" s="42">
        <f>J14/$K$1</f>
        <v>0.21363636363636362</v>
      </c>
      <c r="L14" s="42">
        <f t="shared" si="0"/>
        <v>6.2585524171356486</v>
      </c>
      <c r="M14" s="42">
        <f>J14/$M$1</f>
        <v>0.15666666666666668</v>
      </c>
      <c r="N14" s="42">
        <f t="shared" si="1"/>
        <v>5.3595040935916147</v>
      </c>
      <c r="O14" s="42">
        <v>6</v>
      </c>
      <c r="P14" s="42">
        <f>J14/((((O14/12)^2)/4)*PI())</f>
        <v>2393.6903441021059</v>
      </c>
      <c r="AZ14" s="42"/>
      <c r="BA14" s="42"/>
      <c r="BB14" s="42"/>
      <c r="BC14" s="42"/>
      <c r="BD14" s="42"/>
      <c r="BE14" s="42"/>
      <c r="BF14" s="42"/>
      <c r="BG14" s="42">
        <f>AZ12+J16</f>
        <v>4700</v>
      </c>
      <c r="BH14" s="42">
        <f t="shared" ref="BH14" si="38">BG14/$K$1</f>
        <v>2.1363636363636362</v>
      </c>
      <c r="BI14" s="42">
        <f t="shared" ref="BI14" si="39">SQRT(4*BH14/(PI()))*12</f>
        <v>19.791280493700871</v>
      </c>
      <c r="BJ14" s="42">
        <f t="shared" ref="BJ14" si="40">BG14/$M$1</f>
        <v>1.5666666666666667</v>
      </c>
      <c r="BK14" s="42">
        <f t="shared" ref="BK14" si="41">SQRT(4*BJ14/(PI()))*12</f>
        <v>16.94824006474574</v>
      </c>
      <c r="BL14" s="42">
        <v>16</v>
      </c>
      <c r="BM14" s="42">
        <f t="shared" ref="BM14" si="42">BG14/((((BL14/12)^2)/4)*PI())</f>
        <v>3366.1270463935866</v>
      </c>
    </row>
    <row r="15" spans="1:65" x14ac:dyDescent="0.25">
      <c r="A15" s="42"/>
      <c r="B15">
        <v>250</v>
      </c>
      <c r="C15">
        <f t="shared" si="7"/>
        <v>235</v>
      </c>
      <c r="D15">
        <f t="shared" si="8"/>
        <v>0.10681818181818181</v>
      </c>
      <c r="E15">
        <f t="shared" si="9"/>
        <v>4.4254648545680739</v>
      </c>
      <c r="F15">
        <f t="shared" si="10"/>
        <v>7.8333333333333338E-2</v>
      </c>
      <c r="G15">
        <f t="shared" si="11"/>
        <v>3.7897416883756918</v>
      </c>
      <c r="H15">
        <v>4</v>
      </c>
      <c r="I15">
        <f t="shared" si="12"/>
        <v>2692.9016371148691</v>
      </c>
      <c r="J15" s="42"/>
      <c r="K15" s="42"/>
      <c r="L15" s="42"/>
      <c r="M15" s="42"/>
      <c r="N15" s="42"/>
      <c r="O15" s="42"/>
      <c r="P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</row>
    <row r="16" spans="1:65" x14ac:dyDescent="0.25">
      <c r="A16" s="42" t="s">
        <v>51</v>
      </c>
      <c r="B16">
        <v>750</v>
      </c>
      <c r="C16">
        <f t="shared" si="7"/>
        <v>705</v>
      </c>
      <c r="D16">
        <f t="shared" si="8"/>
        <v>0.32045454545454544</v>
      </c>
      <c r="E16">
        <f t="shared" si="9"/>
        <v>7.6651299752223174</v>
      </c>
      <c r="F16">
        <f t="shared" si="10"/>
        <v>0.23499999999999999</v>
      </c>
      <c r="G16">
        <f t="shared" si="11"/>
        <v>6.5640251518285559</v>
      </c>
      <c r="H16">
        <v>7</v>
      </c>
      <c r="I16">
        <f t="shared" si="12"/>
        <v>2637.9444608472186</v>
      </c>
      <c r="J16" s="42">
        <f>SUM(C16:C17)</f>
        <v>1410</v>
      </c>
      <c r="K16" s="42">
        <f>J16/$K$1</f>
        <v>0.64090909090909087</v>
      </c>
      <c r="L16" s="42">
        <f t="shared" ref="L16" si="43">SQRT(4*K16/(PI()))*12</f>
        <v>10.840130768311948</v>
      </c>
      <c r="M16" s="42">
        <f>J16/$M$1</f>
        <v>0.47</v>
      </c>
      <c r="N16" s="42">
        <f t="shared" ref="N16" si="44">SQRT(4*M16/(PI()))*12</f>
        <v>9.2829333934740603</v>
      </c>
      <c r="O16" s="42">
        <v>9</v>
      </c>
      <c r="P16" s="42">
        <f>J16/((((O16/12)^2)/4)*PI())</f>
        <v>3191.5871254694748</v>
      </c>
      <c r="BG16" s="42"/>
      <c r="BH16" s="42"/>
      <c r="BI16" s="42"/>
      <c r="BJ16" s="42"/>
      <c r="BK16" s="42"/>
      <c r="BL16" s="42"/>
      <c r="BM16" s="42"/>
    </row>
    <row r="17" spans="1:65" x14ac:dyDescent="0.25">
      <c r="A17" s="42"/>
      <c r="B17">
        <v>750</v>
      </c>
      <c r="C17">
        <f t="shared" si="7"/>
        <v>705</v>
      </c>
      <c r="D17">
        <f t="shared" si="8"/>
        <v>0.32045454545454544</v>
      </c>
      <c r="E17">
        <f t="shared" si="9"/>
        <v>7.6651299752223174</v>
      </c>
      <c r="F17">
        <f t="shared" si="10"/>
        <v>0.23499999999999999</v>
      </c>
      <c r="G17">
        <f t="shared" si="11"/>
        <v>6.5640251518285559</v>
      </c>
      <c r="H17">
        <v>7</v>
      </c>
      <c r="I17">
        <f t="shared" si="12"/>
        <v>2637.9444608472186</v>
      </c>
      <c r="J17" s="42"/>
      <c r="K17" s="42"/>
      <c r="L17" s="42"/>
      <c r="M17" s="42"/>
      <c r="N17" s="42"/>
      <c r="O17" s="42"/>
      <c r="P17" s="42"/>
      <c r="BG17" s="42"/>
      <c r="BH17" s="42"/>
      <c r="BI17" s="42"/>
      <c r="BJ17" s="42"/>
      <c r="BK17" s="42"/>
      <c r="BL17" s="42"/>
      <c r="BM17" s="42"/>
    </row>
    <row r="18" spans="1:65" x14ac:dyDescent="0.25">
      <c r="A18" t="s">
        <v>52</v>
      </c>
      <c r="B18">
        <f>SUM(B2:B17)</f>
        <v>5000</v>
      </c>
    </row>
    <row r="19" spans="1:65" x14ac:dyDescent="0.25">
      <c r="A19" t="s">
        <v>53</v>
      </c>
      <c r="B19">
        <f>2350*2</f>
        <v>4700</v>
      </c>
      <c r="G19">
        <f>150*0.04</f>
        <v>6</v>
      </c>
    </row>
  </sheetData>
  <mergeCells count="131">
    <mergeCell ref="A14:A15"/>
    <mergeCell ref="A16:A17"/>
    <mergeCell ref="D1:E1"/>
    <mergeCell ref="F1:G1"/>
    <mergeCell ref="J16:J17"/>
    <mergeCell ref="K16:K17"/>
    <mergeCell ref="K1:L1"/>
    <mergeCell ref="J2:J3"/>
    <mergeCell ref="K2:K3"/>
    <mergeCell ref="J6:J7"/>
    <mergeCell ref="A2:A3"/>
    <mergeCell ref="A4:A5"/>
    <mergeCell ref="A6:A7"/>
    <mergeCell ref="A8:A9"/>
    <mergeCell ref="A10:A11"/>
    <mergeCell ref="A12:A13"/>
    <mergeCell ref="K6:K7"/>
    <mergeCell ref="J4:J5"/>
    <mergeCell ref="K4:K5"/>
    <mergeCell ref="Q2:Q5"/>
    <mergeCell ref="R2:R5"/>
    <mergeCell ref="M1:N1"/>
    <mergeCell ref="L16:L17"/>
    <mergeCell ref="M16:M17"/>
    <mergeCell ref="N16:N17"/>
    <mergeCell ref="O16:O17"/>
    <mergeCell ref="P16:P17"/>
    <mergeCell ref="L2:L3"/>
    <mergeCell ref="M2:M3"/>
    <mergeCell ref="N2:N3"/>
    <mergeCell ref="O2:O3"/>
    <mergeCell ref="L6:L7"/>
    <mergeCell ref="M6:M7"/>
    <mergeCell ref="N6:N7"/>
    <mergeCell ref="O6:O7"/>
    <mergeCell ref="P6:P7"/>
    <mergeCell ref="P2:P3"/>
    <mergeCell ref="L4:L5"/>
    <mergeCell ref="M4:M5"/>
    <mergeCell ref="N4:N5"/>
    <mergeCell ref="O4:O5"/>
    <mergeCell ref="P4:P5"/>
    <mergeCell ref="M10:M11"/>
    <mergeCell ref="P8:P9"/>
    <mergeCell ref="J10:J11"/>
    <mergeCell ref="K10:K11"/>
    <mergeCell ref="L10:L11"/>
    <mergeCell ref="P10:P11"/>
    <mergeCell ref="J8:J9"/>
    <mergeCell ref="K8:K9"/>
    <mergeCell ref="L8:L9"/>
    <mergeCell ref="M8:M9"/>
    <mergeCell ref="N8:N9"/>
    <mergeCell ref="O8:O9"/>
    <mergeCell ref="N10:N11"/>
    <mergeCell ref="O10:O11"/>
    <mergeCell ref="P12:P13"/>
    <mergeCell ref="J14:J15"/>
    <mergeCell ref="K14:K15"/>
    <mergeCell ref="L14:L15"/>
    <mergeCell ref="M14:M15"/>
    <mergeCell ref="N14:N15"/>
    <mergeCell ref="O14:O15"/>
    <mergeCell ref="P14:P15"/>
    <mergeCell ref="J12:J13"/>
    <mergeCell ref="K12:K13"/>
    <mergeCell ref="L12:L13"/>
    <mergeCell ref="M12:M13"/>
    <mergeCell ref="N12:N13"/>
    <mergeCell ref="O12:O13"/>
    <mergeCell ref="R1:S1"/>
    <mergeCell ref="T1:U1"/>
    <mergeCell ref="Y3:Z3"/>
    <mergeCell ref="AA3:AB3"/>
    <mergeCell ref="X4:X7"/>
    <mergeCell ref="Y4:Y7"/>
    <mergeCell ref="Z4:Z7"/>
    <mergeCell ref="AA4:AA7"/>
    <mergeCell ref="AB4:AB7"/>
    <mergeCell ref="W2:W5"/>
    <mergeCell ref="S2:S5"/>
    <mergeCell ref="T2:T5"/>
    <mergeCell ref="U2:U5"/>
    <mergeCell ref="V2:V5"/>
    <mergeCell ref="AC4:AC7"/>
    <mergeCell ref="AD4:AD7"/>
    <mergeCell ref="AF5:AG5"/>
    <mergeCell ref="AH5:AI5"/>
    <mergeCell ref="AE6:AE9"/>
    <mergeCell ref="AF6:AF9"/>
    <mergeCell ref="AG6:AG9"/>
    <mergeCell ref="AH6:AH9"/>
    <mergeCell ref="AI6:AI9"/>
    <mergeCell ref="AJ6:AJ9"/>
    <mergeCell ref="AK6:AK9"/>
    <mergeCell ref="AM7:AN7"/>
    <mergeCell ref="AO7:AP7"/>
    <mergeCell ref="AL8:AL11"/>
    <mergeCell ref="AM8:AM11"/>
    <mergeCell ref="AN8:AN11"/>
    <mergeCell ref="AO8:AO11"/>
    <mergeCell ref="AP8:AP11"/>
    <mergeCell ref="AQ8:AQ11"/>
    <mergeCell ref="AR8:AR11"/>
    <mergeCell ref="AT9:AU9"/>
    <mergeCell ref="AV9:AW9"/>
    <mergeCell ref="AS10:AS13"/>
    <mergeCell ref="AT10:AT13"/>
    <mergeCell ref="AU10:AU13"/>
    <mergeCell ref="AV10:AV13"/>
    <mergeCell ref="AW10:AW13"/>
    <mergeCell ref="AX10:AX13"/>
    <mergeCell ref="AY10:AY13"/>
    <mergeCell ref="BA11:BB11"/>
    <mergeCell ref="BC11:BD11"/>
    <mergeCell ref="AZ12:AZ15"/>
    <mergeCell ref="BA12:BA15"/>
    <mergeCell ref="BB12:BB15"/>
    <mergeCell ref="BC12:BC15"/>
    <mergeCell ref="BD12:BD15"/>
    <mergeCell ref="BL14:BL17"/>
    <mergeCell ref="BM14:BM17"/>
    <mergeCell ref="BE12:BE15"/>
    <mergeCell ref="BF12:BF15"/>
    <mergeCell ref="BH13:BI13"/>
    <mergeCell ref="BJ13:BK13"/>
    <mergeCell ref="BG14:BG17"/>
    <mergeCell ref="BH14:BH17"/>
    <mergeCell ref="BI14:BI17"/>
    <mergeCell ref="BJ14:BJ17"/>
    <mergeCell ref="BK14:BK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layout</vt:lpstr>
      <vt:lpstr>K&amp;B branch size</vt:lpstr>
      <vt:lpstr>Air Change Calculator</vt:lpstr>
      <vt:lpstr>Sheet1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</dc:creator>
  <cp:lastModifiedBy>Ma</cp:lastModifiedBy>
  <dcterms:created xsi:type="dcterms:W3CDTF">2012-10-15T18:14:18Z</dcterms:created>
  <dcterms:modified xsi:type="dcterms:W3CDTF">2013-07-11T15:53:47Z</dcterms:modified>
</cp:coreProperties>
</file>