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575" windowWidth="20730" windowHeight="11700"/>
  </bookViews>
  <sheets>
    <sheet name="layout" sheetId="1" r:id="rId1"/>
    <sheet name="K&amp;B branch size" sheetId="2" r:id="rId2"/>
    <sheet name="Air Change Calculator" sheetId="3" r:id="rId3"/>
  </sheets>
  <definedNames>
    <definedName name="solver_adj" localSheetId="0" hidden="1">layout!$R$4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layout!$R$2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1156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AA8" i="1" l="1"/>
  <c r="AA7" i="1"/>
  <c r="AA6" i="1"/>
  <c r="AA5" i="1"/>
  <c r="AA4" i="1"/>
  <c r="R1" i="1" l="1"/>
  <c r="Q1" i="1"/>
  <c r="AA3" i="1"/>
  <c r="AA1" i="1"/>
  <c r="AA2" i="1"/>
  <c r="P1" i="1"/>
  <c r="O5" i="1"/>
  <c r="O4" i="1"/>
  <c r="O3" i="1"/>
  <c r="O2" i="1"/>
  <c r="O1" i="1"/>
  <c r="K9" i="1" l="1"/>
  <c r="F14" i="1" l="1"/>
  <c r="U9" i="1"/>
  <c r="P9" i="1"/>
  <c r="F9" i="1"/>
  <c r="C6" i="3" l="1"/>
  <c r="T9" i="1" l="1"/>
  <c r="G4" i="1" l="1"/>
  <c r="W24" i="1" l="1"/>
  <c r="R32" i="1" s="1"/>
  <c r="W23" i="1"/>
  <c r="M32" i="1" s="1"/>
  <c r="W22" i="1"/>
  <c r="H32" i="1" s="1"/>
  <c r="W21" i="1"/>
  <c r="C32" i="1" s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N34" i="1" l="1"/>
  <c r="N35" i="1" s="1"/>
  <c r="T33" i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H3" i="1"/>
  <c r="T29" i="1" l="1"/>
  <c r="S28" i="1"/>
  <c r="R28" i="1"/>
  <c r="O29" i="1"/>
  <c r="N28" i="1"/>
  <c r="M28" i="1"/>
  <c r="R27" i="1"/>
  <c r="M27" i="1"/>
  <c r="W18" i="1"/>
  <c r="M29" i="1" l="1"/>
  <c r="M30" i="1" s="1"/>
  <c r="T28" i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F13" i="1" s="1"/>
  <c r="W4" i="1"/>
  <c r="R7" i="1" s="1"/>
  <c r="U8" i="1" s="1"/>
  <c r="W3" i="1"/>
  <c r="M7" i="1" s="1"/>
  <c r="P8" i="1" s="1"/>
  <c r="W2" i="1"/>
  <c r="W1" i="1"/>
  <c r="C7" i="1" s="1"/>
  <c r="F8" i="1" s="1"/>
  <c r="H22" i="1" l="1"/>
  <c r="H24" i="1" s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R9" i="1"/>
  <c r="R10" i="1" s="1"/>
  <c r="O9" i="1"/>
  <c r="J9" i="1"/>
  <c r="E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H7" i="1"/>
  <c r="J8" i="1" l="1"/>
  <c r="K8" i="1"/>
  <c r="I9" i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<sst xmlns="http://schemas.openxmlformats.org/spreadsheetml/2006/main" count="108" uniqueCount="57">
  <si>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</si>
  <si>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</si>
  <si>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</si>
  <si>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</si>
  <si>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</si>
  <si>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</si>
  <si>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</si>
  <si>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</si>
  <si>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</si>
  <si>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</si>
  <si>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</si>
  <si>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</si>
  <si>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</si>
  <si>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</si>
  <si>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</si>
  <si>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</si>
  <si>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</si>
  <si>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</si>
  <si>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</si>
  <si>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</si>
  <si>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</si>
  <si>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</si>
  <si>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</si>
  <si>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</si>
  <si>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</si>
  <si>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</si>
  <si>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</si>
  <si>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</si>
  <si>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</si>
  <si>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</si>
  <si>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</si>
  <si>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</si>
  <si>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</si>
  <si>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</si>
  <si>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</si>
  <si>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</si>
  <si>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</si>
  <si>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</si>
  <si>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</si>
  <si>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</si>
  <si>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</si>
  <si>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</si>
  <si>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</si>
  <si>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Air change per hour</t>
  </si>
  <si>
    <t>CFM</t>
  </si>
  <si>
    <t>Volume Exchange:</t>
  </si>
  <si>
    <t>ft</t>
  </si>
  <si>
    <t>n</t>
  </si>
  <si>
    <t>Q</t>
  </si>
  <si>
    <t>V</t>
  </si>
  <si>
    <t>12x12</t>
  </si>
  <si>
    <t>6x5</t>
  </si>
  <si>
    <t>12x9</t>
  </si>
  <si>
    <t>6x9</t>
  </si>
  <si>
    <t>FPM</t>
  </si>
  <si>
    <t>with grate</t>
  </si>
  <si>
    <t>without grate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</si>
</sst>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tabSelected="1" zoomScale="85" zoomScaleNormal="85" workbookViewId="0">
      <selection activeCell="C4" sqref="C4"/>
    </sheetView>
  </sheetViews>
  <sheetFormatPr defaultRowHeight="15" x14ac:dyDescent="0.25"/>
  <cols>
    <col min="1" max="1" width="6.5703125" bestFit="1" customWidth="1"/>
    <col min="2" max="2" width="18.28515625" bestFit="1" customWidth="1"/>
    <col min="3" max="4" width="7.7109375" bestFit="1" customWidth="1"/>
    <col min="5" max="5" width="6.7109375" bestFit="1" customWidth="1"/>
    <col min="6" max="6" width="11.42578125" bestFit="1" customWidth="1"/>
    <col min="7" max="7" width="12.28515625" bestFit="1" customWidth="1"/>
    <col min="8" max="8" width="12.7109375" bestFit="1" customWidth="1"/>
    <col min="9" max="9" width="11.42578125" bestFit="1" customWidth="1"/>
    <col min="10" max="11" width="6.7109375" bestFit="1" customWidth="1"/>
    <col min="12" max="12" width="12.28515625" bestFit="1" customWidth="1"/>
    <col min="13" max="14" width="7.7109375" bestFit="1" customWidth="1"/>
    <col min="15" max="15" width="12.28515625" bestFit="1" customWidth="1"/>
    <col min="16" max="16" width="9.28515625" bestFit="1" customWidth="1"/>
    <col min="17" max="18" width="12.28515625" bestFit="1" customWidth="1"/>
    <col min="19" max="19" width="7.7109375" bestFit="1" customWidth="1"/>
    <col min="20" max="21" width="6.7109375" bestFit="1" customWidth="1"/>
    <col min="22" max="22" width="7.85546875" bestFit="1" customWidth="1"/>
    <col min="23" max="23" width="6.140625" bestFit="1" customWidth="1"/>
    <col min="25" max="26" width="5.140625" bestFit="1" customWidth="1"/>
    <col min="27" max="27" width="12.28515625" bestFit="1" customWidth="1"/>
    <col min="28" max="28" width="13.5703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8" x14ac:dyDescent="0.25">
      <c r="G1" s="36" t="s">
        <v>35</v>
      </c>
      <c r="H1" s="36"/>
      <c r="L1">
        <v>5000</v>
      </c>
      <c r="M1">
        <v>22.875</v>
      </c>
      <c r="N1">
        <v>21.5</v>
      </c>
      <c r="O1">
        <f>N1*M1/144</f>
        <v>3.4153645833333335</v>
      </c>
      <c r="P1">
        <f>SUM(O1:O5)</f>
        <v>20.15625</v>
      </c>
      <c r="Q1">
        <f>P1*0.7</f>
        <v>14.109374999999998</v>
      </c>
      <c r="R1">
        <f>L1/Q1</f>
        <v>354.37430786267998</v>
      </c>
      <c r="V1" t="s">
        <v>3</v>
      </c>
      <c r="W1">
        <f>C2/C3</f>
        <v>1000</v>
      </c>
      <c r="Y1" s="34">
        <v>1.5</v>
      </c>
      <c r="Z1" s="35">
        <v>1.5</v>
      </c>
      <c r="AA1">
        <f>Z1*Y1</f>
        <v>2.25</v>
      </c>
    </row>
    <row r="2" spans="2:28" x14ac:dyDescent="0.25">
      <c r="B2" t="s">
        <v>0</v>
      </c>
      <c r="C2" s="3">
        <v>5000</v>
      </c>
      <c r="D2" s="3"/>
      <c r="E2" s="3"/>
      <c r="F2" s="1" t="s">
        <v>38</v>
      </c>
      <c r="G2" s="1">
        <v>10.53</v>
      </c>
      <c r="H2" s="1">
        <v>13502.07</v>
      </c>
      <c r="I2" s="1" t="s">
        <v>39</v>
      </c>
      <c r="J2" s="1"/>
      <c r="K2" s="1"/>
      <c r="L2" s="1"/>
      <c r="M2">
        <v>22.875</v>
      </c>
      <c r="N2">
        <v>21.5</v>
      </c>
      <c r="O2">
        <f>N2*M2/144</f>
        <v>3.4153645833333335</v>
      </c>
      <c r="P2" s="1"/>
      <c r="Q2" s="1"/>
      <c r="V2" t="s">
        <v>4</v>
      </c>
      <c r="W2">
        <f>$C$2/$C$3*2</f>
        <v>2000</v>
      </c>
      <c r="Y2" s="34">
        <v>1.25</v>
      </c>
      <c r="Z2" s="35">
        <v>1.25</v>
      </c>
      <c r="AA2">
        <f>Z2*Y2</f>
        <v>1.5625</v>
      </c>
    </row>
    <row r="3" spans="2:28" x14ac:dyDescent="0.25">
      <c r="B3" t="s">
        <v>1</v>
      </c>
      <c r="C3" s="3">
        <v>5</v>
      </c>
      <c r="D3" s="3"/>
      <c r="E3" s="3"/>
      <c r="F3" s="1" t="s">
        <v>36</v>
      </c>
      <c r="G3" s="1">
        <v>26386.28</v>
      </c>
      <c r="H3" s="1">
        <f>G3*H2/G2</f>
        <v>33833751.149059825</v>
      </c>
      <c r="I3" s="1" t="s">
        <v>37</v>
      </c>
      <c r="J3" s="1"/>
      <c r="K3" s="1"/>
      <c r="L3" s="1"/>
      <c r="M3">
        <v>29.75</v>
      </c>
      <c r="N3">
        <v>21.5</v>
      </c>
      <c r="O3">
        <f>N3*M3/144</f>
        <v>4.4418402777777777</v>
      </c>
      <c r="P3" s="1"/>
      <c r="Q3" s="1"/>
      <c r="V3" t="s">
        <v>5</v>
      </c>
      <c r="W3">
        <f>$C$2/$C$3*3</f>
        <v>3000</v>
      </c>
      <c r="Y3" s="34"/>
      <c r="Z3" s="35"/>
      <c r="AA3">
        <f>AA2/AA1</f>
        <v>0.69444444444444442</v>
      </c>
    </row>
    <row r="4" spans="2:28" x14ac:dyDescent="0.25">
      <c r="B4" t="s">
        <v>22</v>
      </c>
      <c r="C4" s="3">
        <v>2800</v>
      </c>
      <c r="D4" s="3"/>
      <c r="E4" s="3"/>
      <c r="F4" s="1"/>
      <c r="G4" s="1">
        <f>G3/G2</f>
        <v>2505.8195631528965</v>
      </c>
      <c r="H4" s="1"/>
      <c r="I4" s="1"/>
      <c r="J4" s="1"/>
      <c r="K4" s="1"/>
      <c r="L4" s="1"/>
      <c r="M4">
        <v>29.75</v>
      </c>
      <c r="N4">
        <v>21.5</v>
      </c>
      <c r="O4">
        <f>N4*M4/144</f>
        <v>4.4418402777777777</v>
      </c>
      <c r="P4" s="1"/>
      <c r="Q4" s="1"/>
      <c r="V4" t="s">
        <v>6</v>
      </c>
      <c r="W4">
        <f>$C$2/$C$3*4</f>
        <v>4000</v>
      </c>
      <c r="Y4" s="34">
        <v>138</v>
      </c>
      <c r="Z4" s="35">
        <v>23.5</v>
      </c>
      <c r="AA4">
        <f>Y4*Z4/144</f>
        <v>22.520833333333332</v>
      </c>
    </row>
    <row r="5" spans="2:28" x14ac:dyDescent="0.25">
      <c r="B5" t="s">
        <v>21</v>
      </c>
      <c r="C5" s="3">
        <v>3200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>
        <v>29.75</v>
      </c>
      <c r="N5">
        <v>21.5</v>
      </c>
      <c r="O5">
        <f>N5*M5/144</f>
        <v>4.4418402777777777</v>
      </c>
      <c r="P5" s="1"/>
      <c r="Q5" s="1"/>
      <c r="V5" t="s">
        <v>7</v>
      </c>
      <c r="W5">
        <f>$C$2/$C$3*5</f>
        <v>5000</v>
      </c>
      <c r="Y5" s="34"/>
      <c r="Z5" s="35"/>
      <c r="AA5">
        <f>AA4*2</f>
        <v>45.041666666666664</v>
      </c>
    </row>
    <row r="6" spans="2:28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6000</v>
      </c>
      <c r="Y6" s="35"/>
      <c r="Z6" s="35"/>
      <c r="AA6">
        <f>AA5*AA3</f>
        <v>31.278935185185183</v>
      </c>
    </row>
    <row r="7" spans="2:28" x14ac:dyDescent="0.25">
      <c r="B7" s="6" t="s">
        <v>3</v>
      </c>
      <c r="C7" s="7">
        <f>W1</f>
        <v>1000</v>
      </c>
      <c r="D7" s="7"/>
      <c r="E7" s="8"/>
      <c r="F7" s="1"/>
      <c r="G7" s="6" t="s">
        <v>4</v>
      </c>
      <c r="H7" s="7">
        <f>W2</f>
        <v>2000</v>
      </c>
      <c r="I7" s="7"/>
      <c r="J7" s="8"/>
      <c r="L7" s="6" t="s">
        <v>5</v>
      </c>
      <c r="M7" s="7">
        <f>W3</f>
        <v>3000</v>
      </c>
      <c r="N7" s="7"/>
      <c r="O7" s="8"/>
      <c r="P7" s="3"/>
      <c r="Q7" s="6" t="s">
        <v>6</v>
      </c>
      <c r="R7" s="7">
        <f>W4</f>
        <v>4000</v>
      </c>
      <c r="S7" s="7"/>
      <c r="T7" s="8"/>
      <c r="U7" s="3"/>
      <c r="V7" t="s">
        <v>9</v>
      </c>
      <c r="W7">
        <f>$C$2/$C$3*7</f>
        <v>7000</v>
      </c>
      <c r="Y7" s="35"/>
      <c r="Z7" s="35" t="s">
        <v>54</v>
      </c>
      <c r="AA7">
        <f>10000/AA6</f>
        <v>319.7039777983349</v>
      </c>
      <c r="AB7" t="s">
        <v>55</v>
      </c>
    </row>
    <row r="8" spans="2:28" x14ac:dyDescent="0.25">
      <c r="B8" s="9" t="s">
        <v>2</v>
      </c>
      <c r="C8" s="4">
        <f>$C$4</f>
        <v>2800</v>
      </c>
      <c r="D8" s="4">
        <f>$C$5</f>
        <v>3200</v>
      </c>
      <c r="E8" s="10">
        <f>C7/E9</f>
        <v>2864.7889756541163</v>
      </c>
      <c r="F8" s="3">
        <f>C7/F9</f>
        <v>4800</v>
      </c>
      <c r="G8" s="9" t="s">
        <v>2</v>
      </c>
      <c r="H8" s="4">
        <f>$C$4</f>
        <v>2800</v>
      </c>
      <c r="I8" s="4">
        <f>$C$5</f>
        <v>3200</v>
      </c>
      <c r="J8" s="10">
        <f>H7/J9</f>
        <v>3666.9298888372682</v>
      </c>
      <c r="K8" s="3">
        <f>H7/K9</f>
        <v>5333.333333333333</v>
      </c>
      <c r="L8" s="9" t="s">
        <v>2</v>
      </c>
      <c r="M8" s="4">
        <f>$C$4</f>
        <v>2800</v>
      </c>
      <c r="N8" s="4">
        <f>$C$5</f>
        <v>3200</v>
      </c>
      <c r="O8" s="10">
        <f>M7/O9</f>
        <v>2806.3238945183175</v>
      </c>
      <c r="P8" s="3">
        <f>M7/P9</f>
        <v>4000</v>
      </c>
      <c r="Q8" s="9" t="s">
        <v>2</v>
      </c>
      <c r="R8" s="4">
        <f>$C$4</f>
        <v>2800</v>
      </c>
      <c r="S8" s="4">
        <f>$C$5</f>
        <v>3200</v>
      </c>
      <c r="T8" s="10">
        <f>R7/T9</f>
        <v>2864.7889756541163</v>
      </c>
      <c r="U8" s="3">
        <f>R7/U9</f>
        <v>4000</v>
      </c>
      <c r="V8" t="s">
        <v>10</v>
      </c>
      <c r="W8">
        <f>$C$2/$C$3*8</f>
        <v>8000</v>
      </c>
      <c r="Y8" s="35"/>
      <c r="Z8" s="35" t="s">
        <v>54</v>
      </c>
      <c r="AA8">
        <f>10000/AA5</f>
        <v>222.01665124884369</v>
      </c>
      <c r="AB8" t="s">
        <v>56</v>
      </c>
    </row>
    <row r="9" spans="2:28" x14ac:dyDescent="0.25">
      <c r="B9" s="9"/>
      <c r="C9" s="5">
        <f>C7/C8</f>
        <v>0.35714285714285715</v>
      </c>
      <c r="D9" s="5">
        <f>C7/D8</f>
        <v>0.3125</v>
      </c>
      <c r="E9" s="11">
        <f>(((E10/12)^2)/4)*PI()</f>
        <v>0.3490658503988659</v>
      </c>
      <c r="F9" s="2">
        <f>6*5/144</f>
        <v>0.20833333333333334</v>
      </c>
      <c r="G9" s="9"/>
      <c r="H9" s="5">
        <f>H7/H8</f>
        <v>0.7142857142857143</v>
      </c>
      <c r="I9" s="5">
        <f>H7/I8</f>
        <v>0.625</v>
      </c>
      <c r="J9" s="11">
        <f>(((J10/12)^2)/4)*PI()</f>
        <v>0.54541539124822802</v>
      </c>
      <c r="K9" s="2">
        <f>6*9/144</f>
        <v>0.375</v>
      </c>
      <c r="L9" s="9"/>
      <c r="M9" s="5">
        <f>M7/M8</f>
        <v>1.0714285714285714</v>
      </c>
      <c r="N9" s="5">
        <f>M7/N8</f>
        <v>0.9375</v>
      </c>
      <c r="O9" s="11">
        <f>(((O10/12)^2)/4)*PI()</f>
        <v>1.0690141668465269</v>
      </c>
      <c r="P9" s="2">
        <f>12*9/144</f>
        <v>0.75</v>
      </c>
      <c r="Q9" s="9"/>
      <c r="R9" s="5">
        <f>R7/R8</f>
        <v>1.4285714285714286</v>
      </c>
      <c r="S9" s="5">
        <f>R7/S8</f>
        <v>1.25</v>
      </c>
      <c r="T9" s="11">
        <f>(((T10/12)^2)/4)*PI()</f>
        <v>1.3962634015954636</v>
      </c>
      <c r="U9" s="2">
        <f>12*12/144</f>
        <v>1</v>
      </c>
      <c r="V9" t="s">
        <v>11</v>
      </c>
      <c r="W9">
        <f>$C$2/$C$3*9</f>
        <v>9000</v>
      </c>
      <c r="Y9" s="35"/>
      <c r="Z9" s="35"/>
    </row>
    <row r="10" spans="2:28" ht="15.75" thickBot="1" x14ac:dyDescent="0.3">
      <c r="B10" s="12"/>
      <c r="C10" s="13">
        <f>SQRT(4*C9/(PI()))*12</f>
        <v>8.0920263761368254</v>
      </c>
      <c r="D10" s="13">
        <f>SQRT(4*D9/(PI()))*12</f>
        <v>7.5693975660604806</v>
      </c>
      <c r="E10" s="15">
        <v>8</v>
      </c>
      <c r="F10" s="2" t="s">
        <v>51</v>
      </c>
      <c r="G10" s="12"/>
      <c r="H10" s="13">
        <f>SQRT(4*H9/(PI()))*12</f>
        <v>11.443853448213506</v>
      </c>
      <c r="I10" s="13">
        <f>SQRT(4*I9/(PI()))*12</f>
        <v>10.704744696916627</v>
      </c>
      <c r="J10" s="15">
        <v>10</v>
      </c>
      <c r="K10" s="2" t="s">
        <v>53</v>
      </c>
      <c r="L10" s="12"/>
      <c r="M10" s="13">
        <f>SQRT(4*M9/(PI()))*12</f>
        <v>14.015800819656445</v>
      </c>
      <c r="N10" s="13">
        <f>SQRT(4*N9/(PI()))*12</f>
        <v>13.11058116710495</v>
      </c>
      <c r="O10" s="15">
        <v>14</v>
      </c>
      <c r="P10" s="2" t="s">
        <v>52</v>
      </c>
      <c r="Q10" s="12"/>
      <c r="R10" s="13">
        <f>SQRT(4*R9/(PI()))*12</f>
        <v>16.184052752273651</v>
      </c>
      <c r="S10" s="13">
        <f>SQRT(4*S9/(PI()))*12</f>
        <v>15.138795132120961</v>
      </c>
      <c r="T10" s="15">
        <v>16</v>
      </c>
      <c r="U10" t="s">
        <v>50</v>
      </c>
      <c r="V10" t="s">
        <v>12</v>
      </c>
      <c r="W10">
        <f>$C$2/$C$3*10</f>
        <v>10000</v>
      </c>
      <c r="Y10" s="35"/>
      <c r="Z10" s="35"/>
    </row>
    <row r="11" spans="2:28" ht="15.75" thickBot="1" x14ac:dyDescent="0.3">
      <c r="V11" t="s">
        <v>13</v>
      </c>
      <c r="W11">
        <f>$C$2/$C$3*11</f>
        <v>11000</v>
      </c>
      <c r="Y11" s="35"/>
      <c r="Z11" s="35"/>
    </row>
    <row r="12" spans="2:28" x14ac:dyDescent="0.25">
      <c r="B12" s="6" t="s">
        <v>7</v>
      </c>
      <c r="C12" s="7">
        <f>W5</f>
        <v>5000</v>
      </c>
      <c r="D12" s="7"/>
      <c r="E12" s="8"/>
      <c r="F12" s="1"/>
      <c r="G12" s="6" t="s">
        <v>8</v>
      </c>
      <c r="H12" s="7">
        <f>W6</f>
        <v>6000</v>
      </c>
      <c r="I12" s="7"/>
      <c r="J12" s="8"/>
      <c r="L12" s="6" t="s">
        <v>9</v>
      </c>
      <c r="M12" s="7">
        <f>W7</f>
        <v>7000</v>
      </c>
      <c r="N12" s="7"/>
      <c r="O12" s="8"/>
      <c r="P12" s="3"/>
      <c r="Q12" s="6" t="s">
        <v>10</v>
      </c>
      <c r="R12" s="7">
        <f>W8</f>
        <v>8000</v>
      </c>
      <c r="S12" s="7"/>
      <c r="T12" s="8"/>
      <c r="V12" t="s">
        <v>14</v>
      </c>
      <c r="W12">
        <f>$C$2/$C$3*12</f>
        <v>12000</v>
      </c>
    </row>
    <row r="13" spans="2:28" x14ac:dyDescent="0.25">
      <c r="B13" s="9" t="s">
        <v>2</v>
      </c>
      <c r="C13" s="4">
        <f>$C$4</f>
        <v>2800</v>
      </c>
      <c r="D13" s="4">
        <f>$C$5</f>
        <v>3200</v>
      </c>
      <c r="E13" s="10">
        <f>C12/E14</f>
        <v>2829.4212105225838</v>
      </c>
      <c r="F13" s="3">
        <f>C12/F14</f>
        <v>5000</v>
      </c>
      <c r="G13" s="9" t="s">
        <v>2</v>
      </c>
      <c r="H13" s="4">
        <f>$C$4</f>
        <v>2800</v>
      </c>
      <c r="I13" s="4">
        <f>$C$5</f>
        <v>3200</v>
      </c>
      <c r="J13" s="10">
        <f>H12/J14</f>
        <v>4297.1834634811739</v>
      </c>
      <c r="K13" s="1"/>
      <c r="L13" s="9" t="s">
        <v>2</v>
      </c>
      <c r="M13" s="4">
        <f>$C$4</f>
        <v>2800</v>
      </c>
      <c r="N13" s="4">
        <f>$C$5</f>
        <v>3200</v>
      </c>
      <c r="O13" s="10">
        <f>M12/O14</f>
        <v>3961.1896947316172</v>
      </c>
      <c r="P13" s="3"/>
      <c r="Q13" s="9" t="s">
        <v>2</v>
      </c>
      <c r="R13" s="4">
        <f>$C$4</f>
        <v>2800</v>
      </c>
      <c r="S13" s="4">
        <f>$C$5</f>
        <v>3200</v>
      </c>
      <c r="T13" s="10">
        <f>R12/T14</f>
        <v>3666.9298888372682</v>
      </c>
      <c r="V13" t="s">
        <v>15</v>
      </c>
      <c r="W13">
        <f>$C$2/$C$3*13</f>
        <v>13000</v>
      </c>
    </row>
    <row r="14" spans="2:28" x14ac:dyDescent="0.25">
      <c r="B14" s="9"/>
      <c r="C14" s="5">
        <f>C12/C13</f>
        <v>1.7857142857142858</v>
      </c>
      <c r="D14" s="5">
        <f>C12/D13</f>
        <v>1.5625</v>
      </c>
      <c r="E14" s="11">
        <f>(((E15/12)^2)/4)*PI()</f>
        <v>1.7671458676442586</v>
      </c>
      <c r="F14" s="2">
        <f>12*12/144</f>
        <v>1</v>
      </c>
      <c r="G14" s="9"/>
      <c r="H14" s="5">
        <f>H12/H13</f>
        <v>2.1428571428571428</v>
      </c>
      <c r="I14" s="5">
        <f>H12/I13</f>
        <v>1.875</v>
      </c>
      <c r="J14" s="11">
        <f>(((J15/12)^2)/4)*PI()</f>
        <v>1.3962634015954636</v>
      </c>
      <c r="K14" s="2"/>
      <c r="L14" s="9"/>
      <c r="M14" s="5">
        <f>M12/M13</f>
        <v>2.5</v>
      </c>
      <c r="N14" s="5">
        <f>M12/N13</f>
        <v>2.1875</v>
      </c>
      <c r="O14" s="11">
        <f>(((O15/12)^2)/4)*PI()</f>
        <v>1.7671458676442586</v>
      </c>
      <c r="P14" s="2"/>
      <c r="Q14" s="9"/>
      <c r="R14" s="5">
        <f>R12/R13</f>
        <v>2.8571428571428572</v>
      </c>
      <c r="S14" s="5">
        <f>R12/S13</f>
        <v>2.5</v>
      </c>
      <c r="T14" s="11">
        <f>(((T15/12)^2)/4)*PI()</f>
        <v>2.1816615649929121</v>
      </c>
      <c r="V14" t="s">
        <v>16</v>
      </c>
      <c r="W14">
        <f>$C$2/$C$3*14</f>
        <v>14000</v>
      </c>
    </row>
    <row r="15" spans="2:28" ht="15.75" thickBot="1" x14ac:dyDescent="0.3">
      <c r="B15" s="12"/>
      <c r="C15" s="13">
        <f>SQRT(4*C14/(PI()))*12</f>
        <v>18.094321052763227</v>
      </c>
      <c r="D15" s="13">
        <f>SQRT(4*D14/(PI()))*12</f>
        <v>16.925687506432688</v>
      </c>
      <c r="E15" s="15">
        <v>18</v>
      </c>
      <c r="F15" s="2" t="s">
        <v>50</v>
      </c>
      <c r="G15" s="12"/>
      <c r="H15" s="13">
        <f>SQRT(4*H14/(PI()))*12</f>
        <v>19.821335606678087</v>
      </c>
      <c r="I15" s="13">
        <f>SQRT(4*I14/(PI()))*12</f>
        <v>18.5411616971131</v>
      </c>
      <c r="J15" s="15">
        <v>16</v>
      </c>
      <c r="K15" s="2"/>
      <c r="L15" s="12"/>
      <c r="M15" s="13">
        <f>SQRT(4*M14/(PI()))*12</f>
        <v>21.409489393833255</v>
      </c>
      <c r="N15" s="13">
        <f>SQRT(4*N14/(PI()))*12</f>
        <v>20.026743534373637</v>
      </c>
      <c r="O15" s="14">
        <v>18</v>
      </c>
      <c r="P15" s="2"/>
      <c r="Q15" s="12"/>
      <c r="R15" s="13">
        <f>SQRT(4*R14/(PI()))*12</f>
        <v>22.887706896427012</v>
      </c>
      <c r="S15" s="13">
        <f>SQRT(4*S14/(PI()))*12</f>
        <v>21.409489393833255</v>
      </c>
      <c r="T15" s="15">
        <v>20</v>
      </c>
      <c r="V15" t="s">
        <v>17</v>
      </c>
      <c r="W15">
        <f>$C$2/$C$3*15</f>
        <v>15000</v>
      </c>
    </row>
    <row r="16" spans="2:28" ht="15.75" thickBot="1" x14ac:dyDescent="0.3">
      <c r="V16" t="s">
        <v>18</v>
      </c>
      <c r="W16">
        <f>$C$2/$C$3*16</f>
        <v>16000</v>
      </c>
    </row>
    <row r="17" spans="2:23" x14ac:dyDescent="0.25">
      <c r="B17" s="6" t="s">
        <v>11</v>
      </c>
      <c r="C17" s="7">
        <f>W9</f>
        <v>9000</v>
      </c>
      <c r="D17" s="7"/>
      <c r="E17" s="8"/>
      <c r="F17" s="1"/>
      <c r="G17" s="6" t="s">
        <v>12</v>
      </c>
      <c r="H17" s="7">
        <f>W10</f>
        <v>10000</v>
      </c>
      <c r="I17" s="7"/>
      <c r="J17" s="8"/>
      <c r="L17" s="6" t="s">
        <v>13</v>
      </c>
      <c r="M17" s="7">
        <f>W11</f>
        <v>11000</v>
      </c>
      <c r="N17" s="7"/>
      <c r="O17" s="8"/>
      <c r="P17" s="3"/>
      <c r="Q17" s="6" t="s">
        <v>14</v>
      </c>
      <c r="R17" s="7">
        <f>W12</f>
        <v>12000</v>
      </c>
      <c r="S17" s="7"/>
      <c r="T17" s="8"/>
      <c r="V17" t="s">
        <v>19</v>
      </c>
      <c r="W17">
        <f>$C$2/$C$3*17</f>
        <v>17000</v>
      </c>
    </row>
    <row r="18" spans="2:23" x14ac:dyDescent="0.25">
      <c r="B18" s="9" t="s">
        <v>2</v>
      </c>
      <c r="C18" s="4">
        <f>$C$4</f>
        <v>2800</v>
      </c>
      <c r="D18" s="4">
        <f>$C$5</f>
        <v>3200</v>
      </c>
      <c r="E18" s="10">
        <f>C17/E19</f>
        <v>4125.2961249419268</v>
      </c>
      <c r="F18" s="1"/>
      <c r="G18" s="9" t="s">
        <v>2</v>
      </c>
      <c r="H18" s="4">
        <f>$C$4</f>
        <v>2800</v>
      </c>
      <c r="I18" s="4">
        <f>$C$5</f>
        <v>3200</v>
      </c>
      <c r="J18" s="10">
        <f>H17/J19</f>
        <v>4583.6623610465858</v>
      </c>
      <c r="K18" s="1"/>
      <c r="L18" s="9" t="s">
        <v>2</v>
      </c>
      <c r="M18" s="4">
        <f>$C$4</f>
        <v>2800</v>
      </c>
      <c r="N18" s="4">
        <f>$C$5</f>
        <v>3200</v>
      </c>
      <c r="O18" s="10">
        <f>M17/O19</f>
        <v>6224.7266631496841</v>
      </c>
      <c r="P18" s="3"/>
      <c r="Q18" s="9" t="s">
        <v>2</v>
      </c>
      <c r="R18" s="4">
        <f>$C$4</f>
        <v>2800</v>
      </c>
      <c r="S18" s="4">
        <f>$C$5</f>
        <v>3200</v>
      </c>
      <c r="T18" s="10">
        <f>R17/T19</f>
        <v>6790.6109052542015</v>
      </c>
      <c r="V18" t="s">
        <v>20</v>
      </c>
      <c r="W18">
        <f>$C$2/$C$3*18</f>
        <v>18000</v>
      </c>
    </row>
    <row r="19" spans="2:23" x14ac:dyDescent="0.25">
      <c r="B19" s="9"/>
      <c r="C19" s="5">
        <f>C17/C18</f>
        <v>3.2142857142857144</v>
      </c>
      <c r="D19" s="5">
        <f>C17/D18</f>
        <v>2.8125</v>
      </c>
      <c r="E19" s="11">
        <f>(((E20/12)^2)/4)*PI()</f>
        <v>2.1816615649929121</v>
      </c>
      <c r="F19" s="2"/>
      <c r="G19" s="9"/>
      <c r="H19" s="5">
        <f>H17/H18</f>
        <v>3.5714285714285716</v>
      </c>
      <c r="I19" s="5">
        <f>H17/I18</f>
        <v>3.125</v>
      </c>
      <c r="J19" s="11">
        <f>(((J20/12)^2)/4)*PI()</f>
        <v>2.1816615649929121</v>
      </c>
      <c r="K19" s="2"/>
      <c r="L19" s="9"/>
      <c r="M19" s="5">
        <f>M17/M18</f>
        <v>3.9285714285714284</v>
      </c>
      <c r="N19" s="5">
        <f>M17/N18</f>
        <v>3.4375</v>
      </c>
      <c r="O19" s="11">
        <f>(((O20/12)^2)/4)*PI()</f>
        <v>1.7671458676442586</v>
      </c>
      <c r="P19" s="2"/>
      <c r="Q19" s="9"/>
      <c r="R19" s="5">
        <f>R17/R18</f>
        <v>4.2857142857142856</v>
      </c>
      <c r="S19" s="5">
        <f>R17/S18</f>
        <v>3.75</v>
      </c>
      <c r="T19" s="11">
        <f>(((T20/12)^2)/4)*PI()</f>
        <v>1.7671458676442586</v>
      </c>
      <c r="V19" t="s">
        <v>28</v>
      </c>
      <c r="W19">
        <f>$C$2/$C$3*19</f>
        <v>19000</v>
      </c>
    </row>
    <row r="20" spans="2:23" ht="15.75" thickBot="1" x14ac:dyDescent="0.3">
      <c r="B20" s="12"/>
      <c r="C20" s="13">
        <f>SQRT(4*C19/(PI()))*12</f>
        <v>24.276079128410476</v>
      </c>
      <c r="D20" s="13">
        <f>SQRT(4*D19/(PI()))*12</f>
        <v>22.708192698181442</v>
      </c>
      <c r="E20" s="15">
        <v>20</v>
      </c>
      <c r="F20" s="2"/>
      <c r="G20" s="12"/>
      <c r="H20" s="13">
        <f>SQRT(4*H19/(PI()))*12</f>
        <v>25.589234234750769</v>
      </c>
      <c r="I20" s="13">
        <f>SQRT(4*I19/(PI()))*12</f>
        <v>23.936536824085962</v>
      </c>
      <c r="J20" s="15">
        <v>20</v>
      </c>
      <c r="K20" s="2"/>
      <c r="L20" s="12"/>
      <c r="M20" s="13">
        <f>SQRT(4*M19/(PI()))*12</f>
        <v>26.838215283305168</v>
      </c>
      <c r="N20" s="13">
        <f>SQRT(4*N19/(PI()))*12</f>
        <v>25.104851615652017</v>
      </c>
      <c r="O20" s="15">
        <v>18</v>
      </c>
      <c r="P20" s="2"/>
      <c r="Q20" s="12"/>
      <c r="R20" s="13">
        <f>SQRT(4*R19/(PI()))*12</f>
        <v>28.031601639312889</v>
      </c>
      <c r="S20" s="13">
        <f>SQRT(4*S19/(PI()))*12</f>
        <v>26.2211623342099</v>
      </c>
      <c r="T20" s="15">
        <v>18</v>
      </c>
      <c r="V20" t="s">
        <v>29</v>
      </c>
      <c r="W20">
        <f>$C$2/$C$3*20</f>
        <v>20000</v>
      </c>
    </row>
    <row r="21" spans="2:23" ht="15.75" thickBot="1" x14ac:dyDescent="0.3">
      <c r="V21" t="s">
        <v>30</v>
      </c>
      <c r="W21">
        <f>$C$2/$C$3*21</f>
        <v>21000</v>
      </c>
    </row>
    <row r="22" spans="2:23" x14ac:dyDescent="0.25">
      <c r="B22" s="6" t="s">
        <v>15</v>
      </c>
      <c r="C22" s="7">
        <f>W13</f>
        <v>13000</v>
      </c>
      <c r="D22" s="7"/>
      <c r="E22" s="8"/>
      <c r="F22" s="1"/>
      <c r="G22" s="6" t="s">
        <v>16</v>
      </c>
      <c r="H22" s="7">
        <f>W15</f>
        <v>15000</v>
      </c>
      <c r="I22" s="7"/>
      <c r="J22" s="8"/>
      <c r="L22" s="6" t="s">
        <v>17</v>
      </c>
      <c r="M22" s="7">
        <f>W15</f>
        <v>15000</v>
      </c>
      <c r="N22" s="7"/>
      <c r="O22" s="8"/>
      <c r="P22" s="3"/>
      <c r="Q22" s="6" t="s">
        <v>18</v>
      </c>
      <c r="R22" s="7">
        <f>W16</f>
        <v>16000</v>
      </c>
      <c r="S22" s="7"/>
      <c r="T22" s="8"/>
      <c r="V22" t="s">
        <v>31</v>
      </c>
      <c r="W22">
        <f>$C$2/$C$3*22</f>
        <v>22000</v>
      </c>
    </row>
    <row r="23" spans="2:23" x14ac:dyDescent="0.25">
      <c r="B23" s="9" t="s">
        <v>2</v>
      </c>
      <c r="C23" s="4">
        <f>$C$4</f>
        <v>2800</v>
      </c>
      <c r="D23" s="4">
        <f>$C$5</f>
        <v>3200</v>
      </c>
      <c r="E23" s="10">
        <f>C22/E24</f>
        <v>7356.495147358718</v>
      </c>
      <c r="F23" s="1"/>
      <c r="G23" s="9" t="s">
        <v>2</v>
      </c>
      <c r="H23" s="4">
        <f>$C$4</f>
        <v>2800</v>
      </c>
      <c r="I23" s="4">
        <f>$C$5</f>
        <v>3200</v>
      </c>
      <c r="J23" s="10">
        <f>H22/J24</f>
        <v>8488.2636315677519</v>
      </c>
      <c r="K23" s="1"/>
      <c r="L23" s="9" t="s">
        <v>2</v>
      </c>
      <c r="M23" s="4">
        <f>$C$4</f>
        <v>2800</v>
      </c>
      <c r="N23" s="4">
        <f>$C$5</f>
        <v>3200</v>
      </c>
      <c r="O23" s="10">
        <f>M22/O24</f>
        <v>8488.2636315677519</v>
      </c>
      <c r="P23" s="3"/>
      <c r="Q23" s="9" t="s">
        <v>2</v>
      </c>
      <c r="R23" s="4">
        <f>$C$4</f>
        <v>2800</v>
      </c>
      <c r="S23" s="4">
        <f>$C$5</f>
        <v>3200</v>
      </c>
      <c r="T23" s="10">
        <f>R22/T24</f>
        <v>7333.8597776745364</v>
      </c>
      <c r="V23" t="s">
        <v>32</v>
      </c>
      <c r="W23">
        <f>$C$2/$C$3*23</f>
        <v>23000</v>
      </c>
    </row>
    <row r="24" spans="2:23" x14ac:dyDescent="0.25">
      <c r="B24" s="9"/>
      <c r="C24" s="5">
        <f>C22/C23</f>
        <v>4.6428571428571432</v>
      </c>
      <c r="D24" s="5">
        <f>C22/D23</f>
        <v>4.0625</v>
      </c>
      <c r="E24" s="11">
        <f>(((E25/12)^2)/4)*PI()</f>
        <v>1.7671458676442586</v>
      </c>
      <c r="F24" s="2"/>
      <c r="G24" s="9"/>
      <c r="H24" s="5">
        <f>H22/H23</f>
        <v>5.3571428571428568</v>
      </c>
      <c r="I24" s="5">
        <f>H22/I23</f>
        <v>4.6875</v>
      </c>
      <c r="J24" s="11">
        <f>(((J25/12)^2)/4)*PI()</f>
        <v>1.7671458676442586</v>
      </c>
      <c r="K24" s="2"/>
      <c r="L24" s="9"/>
      <c r="M24" s="5">
        <f>M22/M23</f>
        <v>5.3571428571428568</v>
      </c>
      <c r="N24" s="5">
        <f>M22/N23</f>
        <v>4.6875</v>
      </c>
      <c r="O24" s="11">
        <f>(((O25/12)^2)/4)*PI()</f>
        <v>1.7671458676442586</v>
      </c>
      <c r="P24" s="2"/>
      <c r="Q24" s="9"/>
      <c r="R24" s="5">
        <f>R22/R23</f>
        <v>5.7142857142857144</v>
      </c>
      <c r="S24" s="5">
        <f>R22/S23</f>
        <v>5</v>
      </c>
      <c r="T24" s="11">
        <f>(((T25/12)^2)/4)*PI()</f>
        <v>2.1816615649929121</v>
      </c>
      <c r="V24" t="s">
        <v>33</v>
      </c>
      <c r="W24">
        <f>$C$2/$C$3*24</f>
        <v>24000</v>
      </c>
    </row>
    <row r="25" spans="2:23" ht="15.75" thickBot="1" x14ac:dyDescent="0.3">
      <c r="B25" s="12"/>
      <c r="C25" s="13">
        <f>SQRT(4*C24/(PI()))*12</f>
        <v>29.176216021568379</v>
      </c>
      <c r="D25" s="13">
        <f>SQRT(4*D24/(PI()))*12</f>
        <v>27.29185104880338</v>
      </c>
      <c r="E25" s="15">
        <v>18</v>
      </c>
      <c r="F25" s="2"/>
      <c r="G25" s="12"/>
      <c r="H25" s="13">
        <f>SQRT(4*H24/(PI()))*12</f>
        <v>31.340283391849077</v>
      </c>
      <c r="I25" s="13">
        <f>SQRT(4*I24/(PI()))*12</f>
        <v>29.316150714175194</v>
      </c>
      <c r="J25" s="15">
        <v>18</v>
      </c>
      <c r="K25" s="2"/>
      <c r="L25" s="12"/>
      <c r="M25" s="13">
        <f>SQRT(4*M24/(PI()))*12</f>
        <v>31.340283391849077</v>
      </c>
      <c r="N25" s="13">
        <f>SQRT(4*N24/(PI()))*12</f>
        <v>29.316150714175194</v>
      </c>
      <c r="O25" s="15">
        <v>18</v>
      </c>
      <c r="P25" s="2"/>
      <c r="Q25" s="12"/>
      <c r="R25" s="13">
        <f>SQRT(4*R24/(PI()))*12</f>
        <v>32.368105504547302</v>
      </c>
      <c r="S25" s="13">
        <f>SQRT(4*S24/(PI()))*12</f>
        <v>30.277590264241923</v>
      </c>
      <c r="T25" s="15">
        <v>20</v>
      </c>
    </row>
    <row r="26" spans="2:23" ht="15.75" thickBot="1" x14ac:dyDescent="0.3"/>
    <row r="27" spans="2:23" x14ac:dyDescent="0.25">
      <c r="B27" s="6" t="s">
        <v>19</v>
      </c>
      <c r="C27" s="7">
        <f>W17</f>
        <v>17000</v>
      </c>
      <c r="D27" s="7"/>
      <c r="E27" s="8"/>
      <c r="F27" s="1"/>
      <c r="G27" s="6" t="s">
        <v>20</v>
      </c>
      <c r="H27" s="7">
        <f>W18</f>
        <v>18000</v>
      </c>
      <c r="I27" s="7"/>
      <c r="J27" s="8"/>
      <c r="L27" s="6" t="s">
        <v>28</v>
      </c>
      <c r="M27" s="7">
        <f>W19</f>
        <v>19000</v>
      </c>
      <c r="N27" s="7"/>
      <c r="O27" s="8"/>
      <c r="Q27" s="6" t="s">
        <v>29</v>
      </c>
      <c r="R27" s="7">
        <f>W20</f>
        <v>20000</v>
      </c>
      <c r="S27" s="7"/>
      <c r="T27" s="8"/>
    </row>
    <row r="28" spans="2:23" x14ac:dyDescent="0.25">
      <c r="B28" s="9" t="s">
        <v>2</v>
      </c>
      <c r="C28" s="4">
        <f>$C$4</f>
        <v>2800</v>
      </c>
      <c r="D28" s="4">
        <f>$C$5</f>
        <v>3200</v>
      </c>
      <c r="E28" s="10">
        <f>C27/E29</f>
        <v>7792.2260137791955</v>
      </c>
      <c r="F28" s="1"/>
      <c r="G28" s="9" t="s">
        <v>2</v>
      </c>
      <c r="H28" s="4">
        <f>$C$4</f>
        <v>2800</v>
      </c>
      <c r="I28" s="4">
        <f>$C$5</f>
        <v>3200</v>
      </c>
      <c r="J28" s="10">
        <f>H27/J29</f>
        <v>8250.5922498838536</v>
      </c>
      <c r="L28" s="9" t="s">
        <v>2</v>
      </c>
      <c r="M28" s="4">
        <f>$C$4</f>
        <v>2800</v>
      </c>
      <c r="N28" s="4">
        <f>$C$5</f>
        <v>3200</v>
      </c>
      <c r="O28" s="10">
        <f>M27/O29</f>
        <v>8708.9584859885126</v>
      </c>
      <c r="Q28" s="9" t="s">
        <v>2</v>
      </c>
      <c r="R28" s="4">
        <f>$C$4</f>
        <v>2800</v>
      </c>
      <c r="S28" s="4">
        <f>$C$5</f>
        <v>3200</v>
      </c>
      <c r="T28" s="10">
        <f>R27/T29</f>
        <v>9167.3247220931717</v>
      </c>
    </row>
    <row r="29" spans="2:23" x14ac:dyDescent="0.25">
      <c r="B29" s="9"/>
      <c r="C29" s="5">
        <f>C27/C28</f>
        <v>6.0714285714285712</v>
      </c>
      <c r="D29" s="5">
        <f>C27/D28</f>
        <v>5.3125</v>
      </c>
      <c r="E29" s="11">
        <f>(((E30/12)^2)/4)*PI()</f>
        <v>2.1816615649929121</v>
      </c>
      <c r="F29" s="2"/>
      <c r="G29" s="9"/>
      <c r="H29" s="5">
        <f>H27/H28</f>
        <v>6.4285714285714288</v>
      </c>
      <c r="I29" s="5">
        <f>H27/I28</f>
        <v>5.625</v>
      </c>
      <c r="J29" s="11">
        <f>(((J30/12)^2)/4)*PI()</f>
        <v>2.1816615649929121</v>
      </c>
      <c r="L29" s="9"/>
      <c r="M29" s="5">
        <f>M27/M28</f>
        <v>6.7857142857142856</v>
      </c>
      <c r="N29" s="5">
        <f>M27/N28</f>
        <v>5.9375</v>
      </c>
      <c r="O29" s="11">
        <f>(((O30/12)^2)/4)*PI()</f>
        <v>2.1816615649929121</v>
      </c>
      <c r="Q29" s="9"/>
      <c r="R29" s="5">
        <f>R27/R28</f>
        <v>7.1428571428571432</v>
      </c>
      <c r="S29" s="5">
        <f>R27/S28</f>
        <v>6.25</v>
      </c>
      <c r="T29" s="11">
        <f>(((T30/12)^2)/4)*PI()</f>
        <v>2.1816615649929121</v>
      </c>
    </row>
    <row r="30" spans="2:23" ht="15.75" thickBot="1" x14ac:dyDescent="0.3">
      <c r="B30" s="12"/>
      <c r="C30" s="13">
        <f>SQRT(4*C29/(PI()))*12</f>
        <v>33.364279474096236</v>
      </c>
      <c r="D30" s="13">
        <f>SQRT(4*D29/(PI()))*12</f>
        <v>31.209425687160596</v>
      </c>
      <c r="E30" s="15">
        <v>20</v>
      </c>
      <c r="F30" s="2"/>
      <c r="G30" s="12"/>
      <c r="H30" s="13">
        <f>SQRT(4*H29/(PI()))*12</f>
        <v>34.331560344640522</v>
      </c>
      <c r="I30" s="13">
        <f>SQRT(4*I29/(PI()))*12</f>
        <v>32.114234090749882</v>
      </c>
      <c r="J30" s="15">
        <v>20</v>
      </c>
      <c r="L30" s="12"/>
      <c r="M30" s="13">
        <f>SQRT(4*M29/(PI()))*12</f>
        <v>35.272325222046071</v>
      </c>
      <c r="N30" s="13">
        <f>SQRT(4*N29/(PI()))*12</f>
        <v>32.994239053940376</v>
      </c>
      <c r="O30" s="15">
        <v>20</v>
      </c>
      <c r="Q30" s="12"/>
      <c r="R30" s="13">
        <f>SQRT(4*R29/(PI()))*12</f>
        <v>36.188642105526455</v>
      </c>
      <c r="S30" s="13">
        <f>SQRT(4*S29/(PI()))*12</f>
        <v>33.851375012865375</v>
      </c>
      <c r="T30" s="15">
        <v>20</v>
      </c>
    </row>
    <row r="31" spans="2:23" ht="15.75" thickBot="1" x14ac:dyDescent="0.3"/>
    <row r="32" spans="2:23" x14ac:dyDescent="0.25">
      <c r="B32" s="6" t="s">
        <v>30</v>
      </c>
      <c r="C32" s="7">
        <f>W21</f>
        <v>21000</v>
      </c>
      <c r="D32" s="7"/>
      <c r="E32" s="8"/>
      <c r="F32" s="1"/>
      <c r="G32" s="6" t="s">
        <v>31</v>
      </c>
      <c r="H32" s="7">
        <f>W22</f>
        <v>22000</v>
      </c>
      <c r="I32" s="7"/>
      <c r="J32" s="8"/>
      <c r="L32" s="6" t="s">
        <v>32</v>
      </c>
      <c r="M32" s="7">
        <f>W23</f>
        <v>23000</v>
      </c>
      <c r="N32" s="7"/>
      <c r="O32" s="8"/>
      <c r="Q32" s="6" t="s">
        <v>33</v>
      </c>
      <c r="R32" s="7">
        <f>W24</f>
        <v>24000</v>
      </c>
      <c r="S32" s="7"/>
      <c r="T32" s="8"/>
    </row>
    <row r="33" spans="2:20" x14ac:dyDescent="0.25">
      <c r="B33" s="9" t="s">
        <v>2</v>
      </c>
      <c r="C33" s="4">
        <f>$C$4</f>
        <v>2800</v>
      </c>
      <c r="D33" s="4">
        <f>$C$5</f>
        <v>3200</v>
      </c>
      <c r="E33" s="10">
        <f>C32/E34</f>
        <v>9625.6909581978289</v>
      </c>
      <c r="F33" s="1"/>
      <c r="G33" s="9" t="s">
        <v>2</v>
      </c>
      <c r="H33" s="4">
        <f>$C$4</f>
        <v>2800</v>
      </c>
      <c r="I33" s="4">
        <f>$C$5</f>
        <v>3200</v>
      </c>
      <c r="J33" s="10">
        <f>H32/J34</f>
        <v>10084.057194302488</v>
      </c>
      <c r="L33" s="9" t="s">
        <v>2</v>
      </c>
      <c r="M33" s="4">
        <f>$C$4</f>
        <v>2800</v>
      </c>
      <c r="N33" s="4">
        <f>$C$5</f>
        <v>3200</v>
      </c>
      <c r="O33" s="10">
        <f>M32/O34</f>
        <v>10542.423430407147</v>
      </c>
      <c r="Q33" s="9" t="s">
        <v>2</v>
      </c>
      <c r="R33" s="4">
        <f>$C$4</f>
        <v>2800</v>
      </c>
      <c r="S33" s="4">
        <f>$C$5</f>
        <v>3200</v>
      </c>
      <c r="T33" s="10">
        <f>R32/T34</f>
        <v>7040.5053865675545</v>
      </c>
    </row>
    <row r="34" spans="2:20" x14ac:dyDescent="0.25">
      <c r="B34" s="9"/>
      <c r="C34" s="5">
        <f>C32/C33</f>
        <v>7.5</v>
      </c>
      <c r="D34" s="5">
        <f>C32/D33</f>
        <v>6.5625</v>
      </c>
      <c r="E34" s="11">
        <f>(((E35/12)^2)/4)*PI()</f>
        <v>2.1816615649929121</v>
      </c>
      <c r="F34" s="2"/>
      <c r="G34" s="9"/>
      <c r="H34" s="5">
        <f>H32/H33</f>
        <v>7.8571428571428568</v>
      </c>
      <c r="I34" s="5">
        <f>H32/I33</f>
        <v>6.875</v>
      </c>
      <c r="J34" s="11">
        <f>(((J35/12)^2)/4)*PI()</f>
        <v>2.1816615649929121</v>
      </c>
      <c r="L34" s="9"/>
      <c r="M34" s="5">
        <f>M32/M33</f>
        <v>8.2142857142857135</v>
      </c>
      <c r="N34" s="5">
        <f>M32/N33</f>
        <v>7.1875</v>
      </c>
      <c r="O34" s="11">
        <f>(((O35/12)^2)/4)*PI()</f>
        <v>2.1816615649929121</v>
      </c>
      <c r="Q34" s="9"/>
      <c r="R34" s="5">
        <f>R32/R33</f>
        <v>8.5714285714285712</v>
      </c>
      <c r="S34" s="5">
        <f>R32/S33</f>
        <v>7.5</v>
      </c>
      <c r="T34" s="11">
        <f>(((T35/12)^2)/4)*PI()</f>
        <v>3.4088461953014253</v>
      </c>
    </row>
    <row r="35" spans="2:20" ht="15.75" thickBot="1" x14ac:dyDescent="0.3">
      <c r="B35" s="12"/>
      <c r="C35" s="13">
        <f>SQRT(4*C34/(PI()))*12</f>
        <v>37.082323394226201</v>
      </c>
      <c r="D35" s="13">
        <f>SQRT(4*D34/(PI()))*12</f>
        <v>34.687337311686647</v>
      </c>
      <c r="E35" s="15">
        <v>20</v>
      </c>
      <c r="F35" s="2"/>
      <c r="G35" s="12"/>
      <c r="H35" s="13">
        <f>SQRT(4*H34/(PI()))*12</f>
        <v>37.95496804353904</v>
      </c>
      <c r="I35" s="13">
        <f>SQRT(4*I34/(PI()))*12</f>
        <v>35.503621636219179</v>
      </c>
      <c r="J35" s="15">
        <v>20</v>
      </c>
      <c r="L35" s="12"/>
      <c r="M35" s="13">
        <f>SQRT(4*M34/(PI()))*12</f>
        <v>38.807995182154976</v>
      </c>
      <c r="N35" s="13">
        <f>SQRT(4*N34/(PI()))*12</f>
        <v>36.301555459799424</v>
      </c>
      <c r="O35" s="15">
        <v>20</v>
      </c>
      <c r="Q35" s="12"/>
      <c r="R35" s="13">
        <f>SQRT(4*R34/(PI()))*12</f>
        <v>39.642671213356174</v>
      </c>
      <c r="S35" s="13">
        <f>SQRT(4*S34/(PI()))*12</f>
        <v>37.082323394226201</v>
      </c>
      <c r="T35" s="15">
        <v>25</v>
      </c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29"/>
  <sheetViews>
    <sheetView workbookViewId="0">
      <selection activeCell="F4" sqref="F4"/>
    </sheetView>
  </sheetViews>
  <sheetFormatPr defaultRowHeight="15" x14ac:dyDescent="0.25"/>
  <cols>
    <col min="5" max="9" width="5.42578125" style="16" customWidth="1"/>
  </cols>
  <sheetData>
    <row r="1" spans="5:9" ht="15.75" thickBot="1" x14ac:dyDescent="0.3"/>
    <row r="2" spans="5:9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</row>
    <row r="3" spans="5:9" ht="15.75" thickBot="1" x14ac:dyDescent="0.3">
      <c r="E3" s="20">
        <v>12</v>
      </c>
      <c r="F3" s="21">
        <v>10</v>
      </c>
      <c r="G3" s="21">
        <v>6</v>
      </c>
      <c r="H3" s="22">
        <f>IF(E3&gt;((G3*2)+6),E3,((G3*2)+6))</f>
        <v>18</v>
      </c>
      <c r="I3" s="23">
        <f>IF(G3&gt;=19,14.5,IF(G3&lt;=12,8.5,11.5))</f>
        <v>8.5</v>
      </c>
    </row>
    <row r="29" ht="17.2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E28" sqref="E28"/>
    </sheetView>
  </sheetViews>
  <sheetFormatPr defaultRowHeight="15" x14ac:dyDescent="0.25"/>
  <cols>
    <col min="1" max="1" width="9.140625" customWidth="1"/>
    <col min="2" max="2" width="18.5703125" bestFit="1" customWidth="1"/>
    <col min="3" max="3" width="4" bestFit="1" customWidth="1"/>
    <col min="4" max="4" width="5" bestFit="1" customWidth="1"/>
  </cols>
  <sheetData>
    <row r="1" spans="2:5" ht="15.75" thickBot="1" x14ac:dyDescent="0.3"/>
    <row r="2" spans="2:5" x14ac:dyDescent="0.25">
      <c r="B2" s="6" t="s">
        <v>40</v>
      </c>
      <c r="C2" s="28">
        <v>12</v>
      </c>
      <c r="D2" s="29" t="s">
        <v>46</v>
      </c>
      <c r="E2" s="37" t="s">
        <v>49</v>
      </c>
    </row>
    <row r="3" spans="2:5" x14ac:dyDescent="0.25">
      <c r="B3" s="9" t="s">
        <v>41</v>
      </c>
      <c r="C3" s="25">
        <v>13</v>
      </c>
      <c r="D3" s="30" t="s">
        <v>46</v>
      </c>
      <c r="E3" s="38"/>
    </row>
    <row r="4" spans="2:5" x14ac:dyDescent="0.25">
      <c r="B4" s="9" t="s">
        <v>42</v>
      </c>
      <c r="C4" s="25">
        <v>10</v>
      </c>
      <c r="D4" s="30" t="s">
        <v>46</v>
      </c>
      <c r="E4" s="38"/>
    </row>
    <row r="5" spans="2:5" x14ac:dyDescent="0.25">
      <c r="B5" s="9" t="s">
        <v>43</v>
      </c>
      <c r="C5" s="25">
        <v>15</v>
      </c>
      <c r="D5" s="30"/>
      <c r="E5" s="26" t="s">
        <v>47</v>
      </c>
    </row>
    <row r="6" spans="2:5" ht="15.75" thickBot="1" x14ac:dyDescent="0.3">
      <c r="B6" s="31" t="s">
        <v>45</v>
      </c>
      <c r="C6" s="32">
        <f>C3*C4*C2*C5/60</f>
        <v>390</v>
      </c>
      <c r="D6" s="33" t="s">
        <v>44</v>
      </c>
      <c r="E6" s="27" t="s">
        <v>48</v>
      </c>
    </row>
    <row r="7" spans="2:5" x14ac:dyDescent="0.25">
      <c r="E7" s="24"/>
    </row>
  </sheetData>
  <mergeCells count="1">
    <mergeCell ref="E2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</vt:lpstr>
      <vt:lpstr>K&amp;B branch size</vt:lpstr>
      <vt:lpstr>Air Change Calculator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2013-04-17T12:48:38Z</dcterms:modified>
</cp:coreProperties>
</file>